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2017" sheetId="1" r:id="rId1"/>
    <sheet name="Munka1" sheetId="2" r:id="rId2"/>
  </sheets>
  <calcPr calcId="145621" iterateDelta="1E-4"/>
</workbook>
</file>

<file path=xl/calcChain.xml><?xml version="1.0" encoding="utf-8"?>
<calcChain xmlns="http://schemas.openxmlformats.org/spreadsheetml/2006/main">
  <c r="H96" i="1" l="1"/>
  <c r="D30" i="2" l="1"/>
  <c r="C28" i="2"/>
  <c r="C27" i="2"/>
  <c r="C26" i="2"/>
  <c r="B25" i="2"/>
  <c r="F23" i="2"/>
  <c r="F22" i="2"/>
  <c r="F21" i="2"/>
  <c r="D20" i="2"/>
  <c r="D29" i="2" s="1"/>
  <c r="F19" i="2"/>
  <c r="E18" i="2"/>
  <c r="F14" i="2"/>
  <c r="F13" i="2"/>
  <c r="F12" i="2"/>
  <c r="F11" i="2"/>
  <c r="F10" i="2"/>
  <c r="F9" i="2"/>
  <c r="D9" i="2"/>
  <c r="F8" i="2"/>
  <c r="F7" i="2"/>
  <c r="F2" i="2"/>
  <c r="G90" i="1"/>
  <c r="F90" i="1"/>
  <c r="E90" i="1"/>
  <c r="D90" i="1"/>
  <c r="H89" i="1"/>
  <c r="H88" i="1"/>
  <c r="H87" i="1"/>
  <c r="H86" i="1"/>
  <c r="H85" i="1"/>
  <c r="H84" i="1"/>
  <c r="H90" i="1" s="1"/>
  <c r="G83" i="1"/>
  <c r="G91" i="1" s="1"/>
  <c r="F83" i="1"/>
  <c r="F91" i="1" s="1"/>
  <c r="E83" i="1"/>
  <c r="E91" i="1" s="1"/>
  <c r="D83" i="1"/>
  <c r="D91" i="1" s="1"/>
  <c r="H82" i="1"/>
  <c r="H81" i="1"/>
  <c r="H80" i="1"/>
  <c r="H79" i="1"/>
  <c r="H78" i="1"/>
  <c r="H77" i="1"/>
  <c r="H76" i="1"/>
  <c r="H75" i="1"/>
  <c r="H74" i="1"/>
  <c r="H83" i="1" s="1"/>
  <c r="H91" i="1" s="1"/>
  <c r="H72" i="1"/>
  <c r="G71" i="1"/>
  <c r="F71" i="1"/>
  <c r="E70" i="1"/>
  <c r="E71" i="1" s="1"/>
  <c r="H69" i="1"/>
  <c r="H68" i="1"/>
  <c r="D68" i="1"/>
  <c r="D71" i="1" s="1"/>
  <c r="H67" i="1"/>
  <c r="H65" i="1"/>
  <c r="H64" i="1"/>
  <c r="G64" i="1"/>
  <c r="E64" i="1"/>
  <c r="D64" i="1"/>
  <c r="D66" i="1" s="1"/>
  <c r="H63" i="1"/>
  <c r="F63" i="1"/>
  <c r="F64" i="1" s="1"/>
  <c r="H62" i="1"/>
  <c r="H61" i="1"/>
  <c r="H60" i="1"/>
  <c r="H59" i="1"/>
  <c r="H58" i="1"/>
  <c r="H57" i="1"/>
  <c r="G56" i="1"/>
  <c r="G66" i="1" s="1"/>
  <c r="F56" i="1"/>
  <c r="F66" i="1" s="1"/>
  <c r="E56" i="1"/>
  <c r="E66" i="1" s="1"/>
  <c r="D56" i="1"/>
  <c r="H55" i="1"/>
  <c r="H54" i="1"/>
  <c r="H53" i="1"/>
  <c r="H56" i="1" s="1"/>
  <c r="H66" i="1" s="1"/>
  <c r="H51" i="1"/>
  <c r="H50" i="1"/>
  <c r="G49" i="1"/>
  <c r="E49" i="1"/>
  <c r="D49" i="1"/>
  <c r="H48" i="1"/>
  <c r="D48" i="1"/>
  <c r="H47" i="1"/>
  <c r="F47" i="1"/>
  <c r="F49" i="1" s="1"/>
  <c r="D47" i="1"/>
  <c r="H46" i="1"/>
  <c r="H49" i="1" s="1"/>
  <c r="G45" i="1"/>
  <c r="F45" i="1"/>
  <c r="H44" i="1"/>
  <c r="H43" i="1"/>
  <c r="H42" i="1"/>
  <c r="D42" i="1"/>
  <c r="H41" i="1"/>
  <c r="H40" i="1"/>
  <c r="H39" i="1"/>
  <c r="F38" i="1"/>
  <c r="E38" i="1"/>
  <c r="D38" i="1"/>
  <c r="H38" i="1" s="1"/>
  <c r="H37" i="1"/>
  <c r="H36" i="1"/>
  <c r="F36" i="1"/>
  <c r="E36" i="1"/>
  <c r="D36" i="1"/>
  <c r="H35" i="1"/>
  <c r="H34" i="1"/>
  <c r="H33" i="1"/>
  <c r="H32" i="1"/>
  <c r="H31" i="1"/>
  <c r="H30" i="1"/>
  <c r="F29" i="1"/>
  <c r="E29" i="1"/>
  <c r="E45" i="1" s="1"/>
  <c r="D29" i="1"/>
  <c r="H29" i="1" s="1"/>
  <c r="F28" i="1"/>
  <c r="D28" i="1"/>
  <c r="D45" i="1" s="1"/>
  <c r="G27" i="1"/>
  <c r="G52" i="1" s="1"/>
  <c r="F27" i="1"/>
  <c r="F52" i="1" s="1"/>
  <c r="H26" i="1"/>
  <c r="F26" i="1"/>
  <c r="E26" i="1"/>
  <c r="D26" i="1"/>
  <c r="H25" i="1"/>
  <c r="H24" i="1"/>
  <c r="H23" i="1"/>
  <c r="D22" i="1"/>
  <c r="D27" i="1" s="1"/>
  <c r="F21" i="1"/>
  <c r="E21" i="1"/>
  <c r="E27" i="1" s="1"/>
  <c r="E52" i="1" s="1"/>
  <c r="H20" i="1"/>
  <c r="H19" i="1"/>
  <c r="H18" i="1"/>
  <c r="G17" i="1"/>
  <c r="F17" i="1"/>
  <c r="D17" i="1"/>
  <c r="E16" i="1"/>
  <c r="H16" i="1" s="1"/>
  <c r="H17" i="1" s="1"/>
  <c r="H15" i="1"/>
  <c r="H14" i="1"/>
  <c r="H13" i="1"/>
  <c r="G12" i="1"/>
  <c r="F12" i="1"/>
  <c r="E12" i="1"/>
  <c r="D12" i="1"/>
  <c r="H11" i="1"/>
  <c r="H10" i="1"/>
  <c r="H12" i="1" s="1"/>
  <c r="H8" i="1"/>
  <c r="G7" i="1"/>
  <c r="G9" i="1" s="1"/>
  <c r="G73" i="1" s="1"/>
  <c r="G92" i="1" s="1"/>
  <c r="G94" i="1" s="1"/>
  <c r="F7" i="1"/>
  <c r="F9" i="1" s="1"/>
  <c r="E7" i="1"/>
  <c r="E9" i="1" s="1"/>
  <c r="D7" i="1"/>
  <c r="D9" i="1" s="1"/>
  <c r="H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H5" i="1"/>
  <c r="H7" i="1" s="1"/>
  <c r="H9" i="1" s="1"/>
  <c r="F73" i="1" l="1"/>
  <c r="F92" i="1" s="1"/>
  <c r="F94" i="1" s="1"/>
  <c r="D52" i="1"/>
  <c r="H27" i="1"/>
  <c r="E17" i="1"/>
  <c r="E73" i="1" s="1"/>
  <c r="E92" i="1" s="1"/>
  <c r="E94" i="1" s="1"/>
  <c r="H22" i="1"/>
  <c r="H21" i="1"/>
  <c r="H28" i="1"/>
  <c r="H45" i="1" s="1"/>
  <c r="H70" i="1"/>
  <c r="H71" i="1" s="1"/>
  <c r="D73" i="1" l="1"/>
  <c r="D92" i="1" s="1"/>
  <c r="D94" i="1" s="1"/>
  <c r="H52" i="1"/>
  <c r="H73" i="1" s="1"/>
  <c r="H92" i="1" s="1"/>
  <c r="H94" i="1" s="1"/>
</calcChain>
</file>

<file path=xl/sharedStrings.xml><?xml version="1.0" encoding="utf-8"?>
<sst xmlns="http://schemas.openxmlformats.org/spreadsheetml/2006/main" count="141" uniqueCount="136">
  <si>
    <t>Martfűi Városfejlesztési Nkft</t>
  </si>
  <si>
    <t>2016.év</t>
  </si>
  <si>
    <t>Sor-szám</t>
  </si>
  <si>
    <t>A tétel megnevezése</t>
  </si>
  <si>
    <t>Hulladékgazdálkodás (nettó)</t>
  </si>
  <si>
    <t>Ingatlangazdálkodás (nettó)</t>
  </si>
  <si>
    <t>TESZ (bruttó) ÁFA levonási jog nincs</t>
  </si>
  <si>
    <t>Vállalkozási szerződésen alapuló TESZ</t>
  </si>
  <si>
    <t>2016.év összesített eredmény</t>
  </si>
  <si>
    <t>Árbevételek</t>
  </si>
  <si>
    <t>Közvetített szolgáltatások árbevétele (92.)</t>
  </si>
  <si>
    <t>Belföldi értékesítés árbevétele</t>
  </si>
  <si>
    <t>Exportértékesítés nettó árbevétele</t>
  </si>
  <si>
    <t>I.</t>
  </si>
  <si>
    <t>Értékesítés nettó árbevétele (01+02)</t>
  </si>
  <si>
    <t>Saját termelésű készletek állományváltozása ±</t>
  </si>
  <si>
    <t>Saját előállítású eszközök aktivált értéke</t>
  </si>
  <si>
    <t>II.</t>
  </si>
  <si>
    <t>Aktivált saját teljesítmények értéke (±03+04)</t>
  </si>
  <si>
    <t>Önkormányzati támogatás</t>
  </si>
  <si>
    <t>Foglalkoztatáshoz kapcsolódó támogatás</t>
  </si>
  <si>
    <t>Fejlesztési tartalék visszaírása</t>
  </si>
  <si>
    <t>Egyéb bevételek (káresem.kapcs.)</t>
  </si>
  <si>
    <t>III.</t>
  </si>
  <si>
    <t>Egyéb bevételek összesen</t>
  </si>
  <si>
    <t>Útépítéshez felhasznált anyagok</t>
  </si>
  <si>
    <t>Csomagolóanyagok</t>
  </si>
  <si>
    <t>Üzemanyagok, kenőanyagok</t>
  </si>
  <si>
    <t>Közüzemi díjak (víz-, villany, gáz)</t>
  </si>
  <si>
    <t>Karbantartási anyagok</t>
  </si>
  <si>
    <t>Munkaruha, védőruha, védőfelszerelés</t>
  </si>
  <si>
    <t>Nyomtatvány, irodaszer</t>
  </si>
  <si>
    <t>Tisztítószerek</t>
  </si>
  <si>
    <t>Egyéb előzőekbe be nem sorolható anyagok</t>
  </si>
  <si>
    <t>Anyagköltségek összesen</t>
  </si>
  <si>
    <t>Parkolás, autópálya, útdíjak</t>
  </si>
  <si>
    <t>Bérleti díjak</t>
  </si>
  <si>
    <t>Épületen végzett karbantartás</t>
  </si>
  <si>
    <t>Járműveken végzett karbantartás</t>
  </si>
  <si>
    <t>Egyéb eszközökön végzett karbantartás</t>
  </si>
  <si>
    <t>Irodai eszközökön végzett karbantartás</t>
  </si>
  <si>
    <t>Oktatás</t>
  </si>
  <si>
    <t>Üzleti célú utazási költségek</t>
  </si>
  <si>
    <t>Szakértői szolgáltatások (munka és tűzvédelem, kockázatelemzés, ügyvédi díj, könyvvezetés)</t>
  </si>
  <si>
    <t>Alvállalkozói költség (útépítés)</t>
  </si>
  <si>
    <t>Posta-, telefon-, internetköltség</t>
  </si>
  <si>
    <t>Internet (kábeltv.- internet)</t>
  </si>
  <si>
    <t>Rágcsálóirtás</t>
  </si>
  <si>
    <t>Távhő szolgáltatás</t>
  </si>
  <si>
    <t>Különféle egyéb igénybe vett szolgáltatások</t>
  </si>
  <si>
    <t>Igénybe vett szolgáltatások értéke</t>
  </si>
  <si>
    <t>Bankköltség</t>
  </si>
  <si>
    <t>Biztosítási díjak</t>
  </si>
  <si>
    <t>Hatósági díjak</t>
  </si>
  <si>
    <t>Egyéb szolgáltatások értéke</t>
  </si>
  <si>
    <t>Eladott áruk beszerzési értéke</t>
  </si>
  <si>
    <t>Eladott (közvetített) szolgáltatások értéke</t>
  </si>
  <si>
    <t>IV.</t>
  </si>
  <si>
    <t>Anyagjellegű ráfordítások (18+36+40+41+42)</t>
  </si>
  <si>
    <t>Munkabérek</t>
  </si>
  <si>
    <t>Megbízási díj</t>
  </si>
  <si>
    <t>Tiszteletdíjak</t>
  </si>
  <si>
    <t>Bérköltség összesen (43+44+45)</t>
  </si>
  <si>
    <t>Betegszabadság</t>
  </si>
  <si>
    <t>Munkába járás térítése</t>
  </si>
  <si>
    <t>Kiküldetés, Napidíjak</t>
  </si>
  <si>
    <t>Étkezési hozzájárulás</t>
  </si>
  <si>
    <t>Foglalkozás eü. szolgálat</t>
  </si>
  <si>
    <t>Munkáltató által fizetett táppénz-hozzájárulás</t>
  </si>
  <si>
    <t>Egyéb kifizetés (alkalmi foglalkoztatás)</t>
  </si>
  <si>
    <t>Személyi jellegű egyéb kifizetések összesen</t>
  </si>
  <si>
    <t>Bérjárulékok</t>
  </si>
  <si>
    <t>V.</t>
  </si>
  <si>
    <t>Személyi jellegű ráfordítások (46+54+55)</t>
  </si>
  <si>
    <t>VI.</t>
  </si>
  <si>
    <t>Értékcsökkenési leírás</t>
  </si>
  <si>
    <t>Iparűzési adó</t>
  </si>
  <si>
    <t>Építményadó</t>
  </si>
  <si>
    <t>Egyéb nem részl. ráfordítások</t>
  </si>
  <si>
    <t>VII.</t>
  </si>
  <si>
    <t>Egyéb ráfordítások</t>
  </si>
  <si>
    <t>ebből: értékvesztés</t>
  </si>
  <si>
    <t>A.</t>
  </si>
  <si>
    <t>ÜZEMI (ÜZLETI) TEVÉKENYSÉG EREDMÉNYE  (I±II+III-IV-V-VI-VII)</t>
  </si>
  <si>
    <t>Kapott (járó) osztalék és részesedés</t>
  </si>
  <si>
    <t>ebből: kapcsolt vállalkozástól kapott</t>
  </si>
  <si>
    <t>Részesedések értékesítésének árfolyamnyeresége</t>
  </si>
  <si>
    <t>Befektetett pénzügyi eszközök kamatai, árfolyamny.</t>
  </si>
  <si>
    <t>Egyéb kapott kamatok,kamatjellegű  bevételek</t>
  </si>
  <si>
    <t>Pénzügyi műveletek egyéb bevételei</t>
  </si>
  <si>
    <t>VIII.</t>
  </si>
  <si>
    <t>Pénzügyi műv. bevételei (13+14+15+16+17)</t>
  </si>
  <si>
    <t>Befektetett pénzügyi eszközök árfolyamvesztesége</t>
  </si>
  <si>
    <t>ebből: kapcsolt vállalkozásnak adott</t>
  </si>
  <si>
    <t>Fizetendő kamatok és kamatjellegű ráfordítások</t>
  </si>
  <si>
    <t>Részesedések, értékp., bankbetétek értékvesztése</t>
  </si>
  <si>
    <t>Pénzügyi műveletek egyéb ráfordításai</t>
  </si>
  <si>
    <t>IX.</t>
  </si>
  <si>
    <t>Pénzügyi műveletek ráfordításai (18+19±20+21)</t>
  </si>
  <si>
    <t>B.</t>
  </si>
  <si>
    <t>PÉNZÜGYI MŰVELETEK EREDMÉNYE</t>
  </si>
  <si>
    <t>C.</t>
  </si>
  <si>
    <t>ADÓZÁS ELŐTTI EREDMÉNY (±A±B)</t>
  </si>
  <si>
    <t>X</t>
  </si>
  <si>
    <t>Adófizetési kötelezettség</t>
  </si>
  <si>
    <t>D</t>
  </si>
  <si>
    <t>ADÓZOTT EREDMÉNY (±E-XII)</t>
  </si>
  <si>
    <t>Tájékoztató adat: Állományban lévő létszám (fő)</t>
  </si>
  <si>
    <t>Szolnok, 2017. április 26.</t>
  </si>
  <si>
    <t>Hulladék</t>
  </si>
  <si>
    <t>ING</t>
  </si>
  <si>
    <t>TESZ</t>
  </si>
  <si>
    <t>Útépítés</t>
  </si>
  <si>
    <t>Bér</t>
  </si>
  <si>
    <t>Ebből Támogatott bér</t>
  </si>
  <si>
    <t>Jubileumi jutalom</t>
  </si>
  <si>
    <t>Szem.-</t>
  </si>
  <si>
    <t>Erzsébet</t>
  </si>
  <si>
    <t>Védőital</t>
  </si>
  <si>
    <t>Foglalk.eü.szolg.</t>
  </si>
  <si>
    <t>Táppénz 1/3</t>
  </si>
  <si>
    <t>Egyszerűsített foglalk.</t>
  </si>
  <si>
    <t>Kiküldetési rendelvény</t>
  </si>
  <si>
    <t>Munkába járás</t>
  </si>
  <si>
    <t>Járulékok</t>
  </si>
  <si>
    <t>Szocho</t>
  </si>
  <si>
    <t>ebből jubileumi jutalom járuléka</t>
  </si>
  <si>
    <t>EHO</t>
  </si>
  <si>
    <t>SZJA</t>
  </si>
  <si>
    <t>EF közterhe</t>
  </si>
  <si>
    <t>Bér+Járulékok összesen (50 sor)</t>
  </si>
  <si>
    <t>Bér+Járulékok összesen (6. sor)</t>
  </si>
  <si>
    <t>Étkezési utalvány+járulékai</t>
  </si>
  <si>
    <t>Betegszabság+egyebek</t>
  </si>
  <si>
    <t>Bér+Járulékai</t>
  </si>
  <si>
    <t>Erzsébet+járuléka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</si>
</sst>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-##\-######"/>
    <numFmt numFmtId="165" formatCode="yyyy/\ mmmm\ d\."/>
    <numFmt numFmtId="166" formatCode="_-* #,##0.00\ _F_t_-;\-* #,##0.00\ _F_t_-;_-* \-??\ _F_t_-;_-@_-"/>
    <numFmt numFmtId="167" formatCode="_-* #,##0\ _F_t_-;\-* #,##0\ _F_t_-;_-* \-??\ _F_t_-;_-@_-"/>
    <numFmt numFmtId="168" formatCode="mmmm\ d&quot;, &quot;yyyy"/>
  </numFmts>
  <fonts count="17">
    <font>
      <sz val="11"/>
      <color rgb="FF000000"/>
      <name val="Mang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 CE"/>
      <family val="1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Mangal"/>
      <family val="2"/>
      <charset val="238"/>
    </font>
    <font>
      <b/>
      <sz val="16"/>
      <name val="Times New Roman CE"/>
      <family val="1"/>
      <charset val="238"/>
    </font>
    <font>
      <b/>
      <sz val="14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CCCCCD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DDD8D"/>
        <bgColor rgb="FFCCCCCD"/>
      </patternFill>
    </fill>
    <fill>
      <patternFill patternType="solid">
        <fgColor rgb="FFCCCCCD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8080"/>
        <bgColor rgb="FFFF99CC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166" fontId="14" fillId="0" borderId="0"/>
  </cellStyleXfs>
  <cellXfs count="82"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7" fontId="6" fillId="0" borderId="3" xfId="1" applyNumberFormat="1" applyFont="1" applyBorder="1" applyAlignment="1" applyProtection="1">
      <alignment horizontal="right"/>
    </xf>
    <xf numFmtId="167" fontId="7" fillId="0" borderId="4" xfId="1" applyNumberFormat="1" applyFont="1" applyBorder="1" applyAlignment="1" applyProtection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3" fontId="8" fillId="3" borderId="3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right"/>
    </xf>
    <xf numFmtId="0" fontId="4" fillId="0" borderId="3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167" fontId="8" fillId="0" borderId="3" xfId="1" applyNumberFormat="1" applyFont="1" applyBorder="1" applyAlignment="1" applyProtection="1">
      <alignment horizontal="right"/>
    </xf>
    <xf numFmtId="167" fontId="9" fillId="0" borderId="3" xfId="1" applyNumberFormat="1" applyFont="1" applyBorder="1" applyAlignment="1" applyProtection="1">
      <alignment horizontal="right"/>
    </xf>
    <xf numFmtId="167" fontId="7" fillId="3" borderId="3" xfId="1" applyNumberFormat="1" applyFont="1" applyFill="1" applyBorder="1" applyAlignment="1" applyProtection="1">
      <alignment horizontal="right"/>
    </xf>
    <xf numFmtId="167" fontId="7" fillId="3" borderId="3" xfId="0" applyNumberFormat="1" applyFont="1" applyFill="1" applyBorder="1" applyAlignment="1" applyProtection="1">
      <alignment horizontal="right"/>
    </xf>
    <xf numFmtId="167" fontId="7" fillId="3" borderId="4" xfId="0" applyNumberFormat="1" applyFont="1" applyFill="1" applyBorder="1" applyAlignment="1" applyProtection="1">
      <alignment horizontal="right"/>
    </xf>
    <xf numFmtId="167" fontId="7" fillId="0" borderId="3" xfId="1" applyNumberFormat="1" applyFont="1" applyBorder="1" applyAlignment="1" applyProtection="1">
      <alignment horizontal="right"/>
    </xf>
    <xf numFmtId="167" fontId="7" fillId="0" borderId="3" xfId="0" applyNumberFormat="1" applyFont="1" applyBorder="1" applyAlignment="1" applyProtection="1">
      <alignment horizontal="right"/>
    </xf>
    <xf numFmtId="167" fontId="6" fillId="0" borderId="3" xfId="0" applyNumberFormat="1" applyFont="1" applyBorder="1" applyAlignment="1" applyProtection="1">
      <alignment horizontal="right"/>
    </xf>
    <xf numFmtId="167" fontId="7" fillId="0" borderId="4" xfId="0" applyNumberFormat="1" applyFont="1" applyBorder="1" applyAlignment="1" applyProtection="1">
      <alignment horizontal="right"/>
    </xf>
    <xf numFmtId="167" fontId="7" fillId="3" borderId="4" xfId="1" applyNumberFormat="1" applyFont="1" applyFill="1" applyBorder="1" applyAlignment="1" applyProtection="1">
      <alignment horizontal="right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 applyProtection="1">
      <alignment horizontal="right"/>
      <protection locked="0"/>
    </xf>
    <xf numFmtId="0" fontId="10" fillId="0" borderId="3" xfId="0" applyFont="1" applyBorder="1" applyAlignment="1">
      <alignment horizontal="center"/>
    </xf>
    <xf numFmtId="0" fontId="11" fillId="0" borderId="3" xfId="0" applyFont="1" applyBorder="1"/>
    <xf numFmtId="0" fontId="5" fillId="3" borderId="2" xfId="0" applyFont="1" applyFill="1" applyBorder="1" applyAlignment="1">
      <alignment horizontal="center"/>
    </xf>
    <xf numFmtId="3" fontId="5" fillId="3" borderId="3" xfId="0" applyNumberFormat="1" applyFont="1" applyFill="1" applyBorder="1" applyAlignment="1" applyProtection="1">
      <alignment horizontal="right"/>
      <protection locked="0"/>
    </xf>
    <xf numFmtId="3" fontId="5" fillId="3" borderId="4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wrapText="1"/>
    </xf>
    <xf numFmtId="167" fontId="8" fillId="3" borderId="3" xfId="1" applyNumberFormat="1" applyFont="1" applyFill="1" applyBorder="1" applyAlignment="1" applyProtection="1">
      <alignment horizontal="right"/>
    </xf>
    <xf numFmtId="3" fontId="2" fillId="0" borderId="0" xfId="0" applyNumberFormat="1" applyFont="1"/>
    <xf numFmtId="0" fontId="5" fillId="3" borderId="3" xfId="0" applyFont="1" applyFill="1" applyBorder="1" applyAlignment="1">
      <alignment horizontal="center" vertical="top"/>
    </xf>
    <xf numFmtId="167" fontId="2" fillId="0" borderId="0" xfId="0" applyNumberFormat="1" applyFont="1"/>
    <xf numFmtId="168" fontId="4" fillId="0" borderId="3" xfId="0" applyNumberFormat="1" applyFont="1" applyBorder="1" applyAlignment="1">
      <alignment horizontal="left"/>
    </xf>
    <xf numFmtId="0" fontId="4" fillId="0" borderId="3" xfId="0" applyFont="1" applyBorder="1"/>
    <xf numFmtId="1" fontId="2" fillId="0" borderId="0" xfId="0" applyNumberFormat="1" applyFont="1"/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3" fontId="9" fillId="0" borderId="3" xfId="0" applyNumberFormat="1" applyFont="1" applyBorder="1" applyAlignment="1">
      <alignment horizontal="right"/>
    </xf>
    <xf numFmtId="167" fontId="7" fillId="4" borderId="4" xfId="1" applyNumberFormat="1" applyFont="1" applyFill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167" fontId="6" fillId="0" borderId="8" xfId="1" applyNumberFormat="1" applyFont="1" applyBorder="1" applyAlignment="1" applyProtection="1"/>
    <xf numFmtId="167" fontId="6" fillId="0" borderId="7" xfId="1" applyNumberFormat="1" applyFont="1" applyBorder="1" applyAlignment="1" applyProtection="1"/>
    <xf numFmtId="167" fontId="7" fillId="0" borderId="9" xfId="1" applyNumberFormat="1" applyFont="1" applyBorder="1" applyAlignment="1" applyProtection="1"/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7" fontId="6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/>
    <xf numFmtId="3" fontId="4" fillId="0" borderId="0" xfId="0" applyNumberFormat="1" applyFont="1" applyBorder="1" applyAlignment="1">
      <alignment horizontal="left"/>
    </xf>
    <xf numFmtId="167" fontId="6" fillId="0" borderId="0" xfId="1" applyNumberFormat="1" applyFont="1" applyBorder="1" applyAlignment="1" applyProtection="1">
      <alignment wrapText="1"/>
    </xf>
    <xf numFmtId="0" fontId="2" fillId="2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12" fillId="0" borderId="0" xfId="0" applyFont="1"/>
    <xf numFmtId="0" fontId="13" fillId="0" borderId="0" xfId="0" applyFont="1"/>
    <xf numFmtId="1" fontId="3" fillId="0" borderId="0" xfId="0" applyNumberFormat="1" applyFont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DDD8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8"/>
  <sheetViews>
    <sheetView tabSelected="1" topLeftCell="A73" zoomScaleNormal="100" zoomScalePageLayoutView="60" workbookViewId="0">
      <selection activeCell="E100" sqref="E100"/>
    </sheetView>
  </sheetViews>
  <sheetFormatPr defaultRowHeight="15"/>
  <cols>
    <col min="1" max="1" width="5" style="1"/>
    <col min="2" max="2" width="4.625" style="1"/>
    <col min="3" max="3" width="34.75" style="1"/>
    <col min="4" max="7" width="12.125" style="1"/>
    <col min="8" max="8" width="14.5" style="2"/>
    <col min="9" max="9" width="15.125" style="1"/>
    <col min="10" max="10" width="14.5" style="1"/>
    <col min="11" max="11" width="8.875" style="1"/>
    <col min="12" max="12" width="12.375" style="1"/>
    <col min="13" max="13" width="8.875" style="1"/>
    <col min="14" max="1025" width="8.5" style="1"/>
  </cols>
  <sheetData>
    <row r="1" spans="1:12" ht="26.2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12" ht="18.75">
      <c r="A2" s="3"/>
      <c r="B2" s="76" t="s">
        <v>1</v>
      </c>
      <c r="C2" s="76"/>
      <c r="D2" s="76"/>
      <c r="E2" s="76"/>
      <c r="F2" s="76"/>
      <c r="G2" s="76"/>
      <c r="H2" s="76"/>
    </row>
    <row r="3" spans="1:12">
      <c r="A3" s="6"/>
      <c r="B3" s="5"/>
      <c r="C3" s="77"/>
      <c r="D3" s="5">
        <v>1</v>
      </c>
      <c r="E3" s="5">
        <v>2</v>
      </c>
      <c r="F3" s="5">
        <v>3</v>
      </c>
      <c r="G3" s="5">
        <v>4</v>
      </c>
      <c r="H3" s="78"/>
    </row>
    <row r="4" spans="1:12" ht="81.75" customHeight="1">
      <c r="A4" s="79" t="s">
        <v>2</v>
      </c>
      <c r="B4" s="80"/>
      <c r="C4" s="80" t="s">
        <v>3</v>
      </c>
      <c r="D4" s="81" t="s">
        <v>4</v>
      </c>
      <c r="E4" s="81" t="s">
        <v>5</v>
      </c>
      <c r="F4" s="81" t="s">
        <v>6</v>
      </c>
      <c r="G4" s="81" t="s">
        <v>7</v>
      </c>
      <c r="H4" s="81" t="s">
        <v>8</v>
      </c>
    </row>
    <row r="5" spans="1:12">
      <c r="A5" s="4">
        <v>1</v>
      </c>
      <c r="B5" s="5"/>
      <c r="C5" s="6" t="s">
        <v>9</v>
      </c>
      <c r="D5" s="7">
        <v>19485886</v>
      </c>
      <c r="E5" s="7">
        <v>33023624</v>
      </c>
      <c r="F5" s="7">
        <v>0</v>
      </c>
      <c r="G5" s="7">
        <v>69004872</v>
      </c>
      <c r="H5" s="8">
        <f>SUM(D5:G5)</f>
        <v>121514382</v>
      </c>
    </row>
    <row r="6" spans="1:12">
      <c r="A6" s="4">
        <f t="shared" ref="A6:A37" si="0">A5+1</f>
        <v>2</v>
      </c>
      <c r="B6" s="5"/>
      <c r="C6" s="6" t="s">
        <v>10</v>
      </c>
      <c r="D6" s="7"/>
      <c r="E6" s="7"/>
      <c r="F6" s="7"/>
      <c r="G6" s="7"/>
      <c r="H6" s="8">
        <f>SUM(D6:G6)</f>
        <v>0</v>
      </c>
    </row>
    <row r="7" spans="1:12">
      <c r="A7" s="9">
        <f t="shared" si="0"/>
        <v>3</v>
      </c>
      <c r="B7" s="10">
        <v>1</v>
      </c>
      <c r="C7" s="11" t="s">
        <v>11</v>
      </c>
      <c r="D7" s="12">
        <f>SUM(D5:D6)</f>
        <v>19485886</v>
      </c>
      <c r="E7" s="12">
        <f>SUM(E5:E6)</f>
        <v>33023624</v>
      </c>
      <c r="F7" s="12">
        <f>SUM(F5:F6)</f>
        <v>0</v>
      </c>
      <c r="G7" s="12">
        <f>SUM(G5:G6)</f>
        <v>69004872</v>
      </c>
      <c r="H7" s="13">
        <f>SUM(H5:H6)</f>
        <v>121514382</v>
      </c>
    </row>
    <row r="8" spans="1:12">
      <c r="A8" s="4">
        <f t="shared" si="0"/>
        <v>4</v>
      </c>
      <c r="B8" s="5">
        <v>2</v>
      </c>
      <c r="C8" s="14" t="s">
        <v>12</v>
      </c>
      <c r="D8" s="7">
        <v>0</v>
      </c>
      <c r="E8" s="7">
        <v>0</v>
      </c>
      <c r="F8" s="7">
        <v>0</v>
      </c>
      <c r="G8" s="7">
        <v>0</v>
      </c>
      <c r="H8" s="8">
        <f>SUM(D8:G8)</f>
        <v>0</v>
      </c>
    </row>
    <row r="9" spans="1:12">
      <c r="A9" s="9">
        <f t="shared" si="0"/>
        <v>5</v>
      </c>
      <c r="B9" s="15" t="s">
        <v>13</v>
      </c>
      <c r="C9" s="16" t="s">
        <v>14</v>
      </c>
      <c r="D9" s="12">
        <f>SUM(D7:D8)</f>
        <v>19485886</v>
      </c>
      <c r="E9" s="12">
        <f>SUM(E7:E8)</f>
        <v>33023624</v>
      </c>
      <c r="F9" s="12">
        <f>SUM(F7:F8)</f>
        <v>0</v>
      </c>
      <c r="G9" s="12">
        <f>SUM(G7:G8)</f>
        <v>69004872</v>
      </c>
      <c r="H9" s="13">
        <f>SUM(H7:H8)</f>
        <v>121514382</v>
      </c>
    </row>
    <row r="10" spans="1:12">
      <c r="A10" s="4">
        <f t="shared" si="0"/>
        <v>6</v>
      </c>
      <c r="B10" s="5">
        <v>3</v>
      </c>
      <c r="C10" s="14" t="s">
        <v>15</v>
      </c>
      <c r="D10" s="7">
        <v>0</v>
      </c>
      <c r="E10" s="7">
        <v>-690000</v>
      </c>
      <c r="F10" s="7">
        <v>0</v>
      </c>
      <c r="G10" s="7">
        <v>0</v>
      </c>
      <c r="H10" s="8">
        <f>SUM(D10:G10)</f>
        <v>-690000</v>
      </c>
    </row>
    <row r="11" spans="1:12">
      <c r="A11" s="4">
        <f t="shared" si="0"/>
        <v>7</v>
      </c>
      <c r="B11" s="5">
        <v>4</v>
      </c>
      <c r="C11" s="14" t="s">
        <v>16</v>
      </c>
      <c r="D11" s="7">
        <v>0</v>
      </c>
      <c r="E11" s="7"/>
      <c r="F11" s="7">
        <v>0</v>
      </c>
      <c r="G11" s="7">
        <v>0</v>
      </c>
      <c r="H11" s="8">
        <f>SUM(D11:G11)</f>
        <v>0</v>
      </c>
    </row>
    <row r="12" spans="1:12">
      <c r="A12" s="9">
        <f t="shared" si="0"/>
        <v>8</v>
      </c>
      <c r="B12" s="15" t="s">
        <v>17</v>
      </c>
      <c r="C12" s="16" t="s">
        <v>18</v>
      </c>
      <c r="D12" s="17">
        <f>SUM(D10:D11)</f>
        <v>0</v>
      </c>
      <c r="E12" s="17">
        <f>SUM(E10:E11)</f>
        <v>-690000</v>
      </c>
      <c r="F12" s="17">
        <f>SUM(F10:F11)</f>
        <v>0</v>
      </c>
      <c r="G12" s="17">
        <f>SUM(G10:G11)</f>
        <v>0</v>
      </c>
      <c r="H12" s="18">
        <f>SUM(H10:H11)</f>
        <v>-690000</v>
      </c>
    </row>
    <row r="13" spans="1:12">
      <c r="A13" s="4">
        <f t="shared" si="0"/>
        <v>9</v>
      </c>
      <c r="B13" s="5"/>
      <c r="C13" s="14" t="s">
        <v>19</v>
      </c>
      <c r="D13" s="7">
        <v>0</v>
      </c>
      <c r="E13" s="19">
        <v>0</v>
      </c>
      <c r="F13" s="20">
        <v>61770996</v>
      </c>
      <c r="G13" s="19">
        <v>0</v>
      </c>
      <c r="H13" s="8">
        <f>D13+E13+F13+G13</f>
        <v>61770996</v>
      </c>
    </row>
    <row r="14" spans="1:12">
      <c r="A14" s="4">
        <f t="shared" si="0"/>
        <v>10</v>
      </c>
      <c r="B14" s="5"/>
      <c r="C14" s="14" t="s">
        <v>20</v>
      </c>
      <c r="D14" s="7">
        <v>1245100</v>
      </c>
      <c r="E14" s="19">
        <v>0</v>
      </c>
      <c r="F14" s="20">
        <v>2695746</v>
      </c>
      <c r="G14" s="19">
        <v>0</v>
      </c>
      <c r="H14" s="8">
        <f>D14+E14+F14+G14</f>
        <v>3940846</v>
      </c>
    </row>
    <row r="15" spans="1:12">
      <c r="A15" s="4">
        <f t="shared" si="0"/>
        <v>11</v>
      </c>
      <c r="B15" s="5"/>
      <c r="C15" s="14" t="s">
        <v>21</v>
      </c>
      <c r="D15" s="7">
        <v>4055570</v>
      </c>
      <c r="E15" s="19">
        <v>0</v>
      </c>
      <c r="F15" s="19">
        <v>0</v>
      </c>
      <c r="G15" s="19">
        <v>0</v>
      </c>
      <c r="H15" s="8">
        <f>D15+E15+F15+G15</f>
        <v>4055570</v>
      </c>
    </row>
    <row r="16" spans="1:12">
      <c r="A16" s="4">
        <f t="shared" si="0"/>
        <v>12</v>
      </c>
      <c r="B16" s="5"/>
      <c r="C16" s="14" t="s">
        <v>22</v>
      </c>
      <c r="D16" s="7">
        <v>12320</v>
      </c>
      <c r="E16" s="7">
        <f>434999+2068725-96000</f>
        <v>2407724</v>
      </c>
      <c r="F16" s="7">
        <v>0</v>
      </c>
      <c r="G16" s="7">
        <v>155</v>
      </c>
      <c r="H16" s="8">
        <f>D16+E16+F16+G16</f>
        <v>2420199</v>
      </c>
      <c r="L16" s="2"/>
    </row>
    <row r="17" spans="1:1024" s="2" customFormat="1">
      <c r="A17" s="9">
        <f t="shared" si="0"/>
        <v>13</v>
      </c>
      <c r="B17" s="15" t="s">
        <v>23</v>
      </c>
      <c r="C17" s="16" t="s">
        <v>24</v>
      </c>
      <c r="D17" s="21">
        <f>SUM(D13:D16)</f>
        <v>5312990</v>
      </c>
      <c r="E17" s="21">
        <f>SUM(E13:E16)</f>
        <v>2407724</v>
      </c>
      <c r="F17" s="22">
        <f>SUM(F13:F16)</f>
        <v>64466742</v>
      </c>
      <c r="G17" s="22">
        <f>SUM(G13:G16)</f>
        <v>155</v>
      </c>
      <c r="H17" s="23">
        <f>SUM(H13:H16)</f>
        <v>72187611</v>
      </c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>
      <c r="A18" s="4">
        <f t="shared" si="0"/>
        <v>14</v>
      </c>
      <c r="B18" s="5"/>
      <c r="C18" s="14" t="s">
        <v>25</v>
      </c>
      <c r="D18" s="24">
        <v>0</v>
      </c>
      <c r="E18" s="24">
        <v>0</v>
      </c>
      <c r="F18" s="25">
        <v>0</v>
      </c>
      <c r="G18" s="26">
        <v>36502184</v>
      </c>
      <c r="H18" s="27">
        <f t="shared" ref="H18:H26" si="1">D18+E18+F18+G18</f>
        <v>36502184</v>
      </c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>
      <c r="A19" s="4">
        <f t="shared" si="0"/>
        <v>15</v>
      </c>
      <c r="B19" s="5"/>
      <c r="C19" s="14" t="s">
        <v>26</v>
      </c>
      <c r="D19" s="7">
        <v>1949280</v>
      </c>
      <c r="E19" s="24">
        <v>0</v>
      </c>
      <c r="F19" s="25">
        <v>0</v>
      </c>
      <c r="G19" s="25">
        <v>0</v>
      </c>
      <c r="H19" s="27">
        <f t="shared" si="1"/>
        <v>1949280</v>
      </c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>
      <c r="A20" s="4">
        <f t="shared" si="0"/>
        <v>16</v>
      </c>
      <c r="B20" s="5"/>
      <c r="C20" s="14" t="s">
        <v>27</v>
      </c>
      <c r="D20" s="7">
        <v>2063551</v>
      </c>
      <c r="E20" s="24">
        <v>0</v>
      </c>
      <c r="F20" s="26">
        <v>4750555</v>
      </c>
      <c r="G20" s="25">
        <v>0</v>
      </c>
      <c r="H20" s="27">
        <f t="shared" si="1"/>
        <v>6814106</v>
      </c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2" customFormat="1">
      <c r="A21" s="4">
        <f t="shared" si="0"/>
        <v>17</v>
      </c>
      <c r="B21" s="5"/>
      <c r="C21" s="14" t="s">
        <v>28</v>
      </c>
      <c r="D21" s="7">
        <v>375536</v>
      </c>
      <c r="E21" s="7">
        <f>8188368+3032179+2512645+95496</f>
        <v>13828688</v>
      </c>
      <c r="F21" s="26">
        <f>1427210-291840</f>
        <v>1135370</v>
      </c>
      <c r="G21" s="25">
        <v>0</v>
      </c>
      <c r="H21" s="27">
        <f t="shared" si="1"/>
        <v>15339594</v>
      </c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2" customFormat="1">
      <c r="A22" s="4">
        <f t="shared" si="0"/>
        <v>18</v>
      </c>
      <c r="B22" s="5"/>
      <c r="C22" s="14" t="s">
        <v>29</v>
      </c>
      <c r="D22" s="7">
        <f>361490+391293</f>
        <v>752783</v>
      </c>
      <c r="E22" s="7">
        <v>628118</v>
      </c>
      <c r="F22" s="26">
        <v>3873963</v>
      </c>
      <c r="G22" s="25">
        <v>0</v>
      </c>
      <c r="H22" s="27">
        <f t="shared" si="1"/>
        <v>5254864</v>
      </c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2" customFormat="1">
      <c r="A23" s="4">
        <f t="shared" si="0"/>
        <v>19</v>
      </c>
      <c r="B23" s="5"/>
      <c r="C23" s="14" t="s">
        <v>30</v>
      </c>
      <c r="D23" s="7">
        <v>454760</v>
      </c>
      <c r="E23" s="24">
        <v>0</v>
      </c>
      <c r="F23" s="26">
        <v>242592</v>
      </c>
      <c r="G23" s="25">
        <v>0</v>
      </c>
      <c r="H23" s="27">
        <f t="shared" si="1"/>
        <v>697352</v>
      </c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2" customFormat="1">
      <c r="A24" s="4">
        <f t="shared" si="0"/>
        <v>20</v>
      </c>
      <c r="B24" s="5"/>
      <c r="C24" s="14" t="s">
        <v>31</v>
      </c>
      <c r="D24" s="7">
        <v>156044</v>
      </c>
      <c r="E24" s="7">
        <v>32536</v>
      </c>
      <c r="F24" s="26">
        <v>41244</v>
      </c>
      <c r="G24" s="25">
        <v>0</v>
      </c>
      <c r="H24" s="27">
        <f t="shared" si="1"/>
        <v>229824</v>
      </c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2" customFormat="1">
      <c r="A25" s="4">
        <f t="shared" si="0"/>
        <v>21</v>
      </c>
      <c r="B25" s="5"/>
      <c r="C25" s="14" t="s">
        <v>32</v>
      </c>
      <c r="D25" s="7">
        <v>7861</v>
      </c>
      <c r="E25" s="7">
        <v>45353</v>
      </c>
      <c r="F25" s="26">
        <v>36561</v>
      </c>
      <c r="G25" s="25">
        <v>0</v>
      </c>
      <c r="H25" s="27">
        <f t="shared" si="1"/>
        <v>89775</v>
      </c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2" customFormat="1">
      <c r="A26" s="4">
        <f t="shared" si="0"/>
        <v>22</v>
      </c>
      <c r="B26" s="5"/>
      <c r="C26" s="14" t="s">
        <v>33</v>
      </c>
      <c r="D26" s="7">
        <f>3974+35325</f>
        <v>39299</v>
      </c>
      <c r="E26" s="7">
        <f>107982+5213</f>
        <v>113195</v>
      </c>
      <c r="F26" s="26">
        <f>174895+75627</f>
        <v>250522</v>
      </c>
      <c r="G26" s="25">
        <v>0</v>
      </c>
      <c r="H26" s="27">
        <f t="shared" si="1"/>
        <v>403016</v>
      </c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2" customFormat="1">
      <c r="A27" s="9">
        <f t="shared" si="0"/>
        <v>23</v>
      </c>
      <c r="B27" s="15">
        <v>5</v>
      </c>
      <c r="C27" s="16" t="s">
        <v>34</v>
      </c>
      <c r="D27" s="21">
        <f>SUM(D18:D26)</f>
        <v>5799114</v>
      </c>
      <c r="E27" s="21">
        <f>SUM(E18:E26)</f>
        <v>14647890</v>
      </c>
      <c r="F27" s="22">
        <f>SUM(F18:F26)</f>
        <v>10330807</v>
      </c>
      <c r="G27" s="22">
        <f>SUM(G18:G26)</f>
        <v>36502184</v>
      </c>
      <c r="H27" s="28">
        <f t="shared" ref="H27:H44" si="2">SUM(D27:G27)</f>
        <v>67279995</v>
      </c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>
      <c r="A28" s="4">
        <f t="shared" si="0"/>
        <v>24</v>
      </c>
      <c r="B28" s="5"/>
      <c r="C28" s="14" t="s">
        <v>35</v>
      </c>
      <c r="D28" s="7">
        <f>163714+1191</f>
        <v>164905</v>
      </c>
      <c r="E28" s="7">
        <v>476</v>
      </c>
      <c r="F28" s="7">
        <f>46375+714</f>
        <v>47089</v>
      </c>
      <c r="G28" s="7">
        <v>0</v>
      </c>
      <c r="H28" s="8">
        <f t="shared" si="2"/>
        <v>212470</v>
      </c>
      <c r="L28" s="2"/>
    </row>
    <row r="29" spans="1:1024">
      <c r="A29" s="4">
        <f t="shared" si="0"/>
        <v>25</v>
      </c>
      <c r="B29" s="5"/>
      <c r="C29" s="14" t="s">
        <v>36</v>
      </c>
      <c r="D29" s="7">
        <f>560433+1263120+28263+30595</f>
        <v>1882411</v>
      </c>
      <c r="E29" s="7">
        <f>64401+23673</f>
        <v>88074</v>
      </c>
      <c r="F29" s="7">
        <f>507352+132857</f>
        <v>640209</v>
      </c>
      <c r="G29" s="7">
        <v>0</v>
      </c>
      <c r="H29" s="8">
        <f t="shared" si="2"/>
        <v>2610694</v>
      </c>
      <c r="L29" s="2"/>
    </row>
    <row r="30" spans="1:1024">
      <c r="A30" s="4">
        <f t="shared" si="0"/>
        <v>26</v>
      </c>
      <c r="B30" s="5"/>
      <c r="C30" s="14" t="s">
        <v>37</v>
      </c>
      <c r="D30" s="7">
        <v>112558</v>
      </c>
      <c r="E30" s="7">
        <v>331201</v>
      </c>
      <c r="F30" s="7">
        <v>58464</v>
      </c>
      <c r="G30" s="7">
        <v>0</v>
      </c>
      <c r="H30" s="8">
        <f t="shared" si="2"/>
        <v>502223</v>
      </c>
      <c r="L30" s="2"/>
    </row>
    <row r="31" spans="1:1024">
      <c r="A31" s="4">
        <f t="shared" si="0"/>
        <v>27</v>
      </c>
      <c r="B31" s="5"/>
      <c r="C31" s="14" t="s">
        <v>38</v>
      </c>
      <c r="D31" s="7">
        <v>954398</v>
      </c>
      <c r="E31" s="7">
        <v>0</v>
      </c>
      <c r="F31" s="7">
        <v>2387709</v>
      </c>
      <c r="G31" s="7">
        <v>0</v>
      </c>
      <c r="H31" s="8">
        <f t="shared" si="2"/>
        <v>3342107</v>
      </c>
    </row>
    <row r="32" spans="1:1024">
      <c r="A32" s="4">
        <f t="shared" si="0"/>
        <v>28</v>
      </c>
      <c r="B32" s="5"/>
      <c r="C32" s="14" t="s">
        <v>39</v>
      </c>
      <c r="D32" s="7">
        <v>0</v>
      </c>
      <c r="E32" s="7">
        <v>163925</v>
      </c>
      <c r="F32" s="7">
        <v>478401</v>
      </c>
      <c r="G32" s="7">
        <v>0</v>
      </c>
      <c r="H32" s="8">
        <f t="shared" si="2"/>
        <v>642326</v>
      </c>
    </row>
    <row r="33" spans="1:8">
      <c r="A33" s="4">
        <f t="shared" si="0"/>
        <v>29</v>
      </c>
      <c r="B33" s="5"/>
      <c r="C33" s="14" t="s">
        <v>40</v>
      </c>
      <c r="D33" s="7">
        <v>199519</v>
      </c>
      <c r="E33" s="7">
        <v>6578</v>
      </c>
      <c r="F33" s="7">
        <v>11235</v>
      </c>
      <c r="G33" s="7">
        <v>0</v>
      </c>
      <c r="H33" s="8">
        <f t="shared" si="2"/>
        <v>217332</v>
      </c>
    </row>
    <row r="34" spans="1:8">
      <c r="A34" s="4">
        <f t="shared" si="0"/>
        <v>30</v>
      </c>
      <c r="B34" s="5"/>
      <c r="C34" s="14" t="s">
        <v>41</v>
      </c>
      <c r="D34" s="7">
        <v>0</v>
      </c>
      <c r="E34" s="7">
        <v>0</v>
      </c>
      <c r="F34" s="7">
        <v>293400</v>
      </c>
      <c r="G34" s="7">
        <v>0</v>
      </c>
      <c r="H34" s="8">
        <f t="shared" si="2"/>
        <v>293400</v>
      </c>
    </row>
    <row r="35" spans="1:8">
      <c r="A35" s="4">
        <f t="shared" si="0"/>
        <v>31</v>
      </c>
      <c r="B35" s="5"/>
      <c r="C35" s="14" t="s">
        <v>42</v>
      </c>
      <c r="D35" s="7">
        <v>512</v>
      </c>
      <c r="E35" s="7">
        <v>0</v>
      </c>
      <c r="F35" s="7">
        <v>0</v>
      </c>
      <c r="G35" s="7">
        <v>0</v>
      </c>
      <c r="H35" s="8">
        <f t="shared" si="2"/>
        <v>512</v>
      </c>
    </row>
    <row r="36" spans="1:8" ht="45">
      <c r="A36" s="4">
        <f t="shared" si="0"/>
        <v>32</v>
      </c>
      <c r="B36" s="5"/>
      <c r="C36" s="29" t="s">
        <v>43</v>
      </c>
      <c r="D36" s="7">
        <f>10000+490000+179339+20000+105720</f>
        <v>805059</v>
      </c>
      <c r="E36" s="7">
        <f>662000+97366+8000+108480</f>
        <v>875846</v>
      </c>
      <c r="F36" s="7">
        <f>975360+175226+15240+53340</f>
        <v>1219166</v>
      </c>
      <c r="G36" s="7">
        <v>0</v>
      </c>
      <c r="H36" s="8">
        <f t="shared" si="2"/>
        <v>2900071</v>
      </c>
    </row>
    <row r="37" spans="1:8">
      <c r="A37" s="4">
        <f t="shared" si="0"/>
        <v>33</v>
      </c>
      <c r="B37" s="5"/>
      <c r="C37" s="14" t="s">
        <v>44</v>
      </c>
      <c r="D37" s="7">
        <v>16800</v>
      </c>
      <c r="E37" s="7">
        <v>0</v>
      </c>
      <c r="F37" s="7">
        <v>0</v>
      </c>
      <c r="G37" s="7">
        <v>29717440</v>
      </c>
      <c r="H37" s="8">
        <f t="shared" si="2"/>
        <v>29734240</v>
      </c>
    </row>
    <row r="38" spans="1:8">
      <c r="A38" s="4">
        <f t="shared" ref="A38:A69" si="3">A37+1</f>
        <v>34</v>
      </c>
      <c r="B38" s="5"/>
      <c r="C38" s="14" t="s">
        <v>45</v>
      </c>
      <c r="D38" s="7">
        <f>66805+67625</f>
        <v>134430</v>
      </c>
      <c r="E38" s="7">
        <f>84635+25750</f>
        <v>110385</v>
      </c>
      <c r="F38" s="7">
        <f>8490+301613</f>
        <v>310103</v>
      </c>
      <c r="G38" s="7">
        <v>0</v>
      </c>
      <c r="H38" s="8">
        <f t="shared" si="2"/>
        <v>554918</v>
      </c>
    </row>
    <row r="39" spans="1:8">
      <c r="A39" s="4">
        <f t="shared" si="3"/>
        <v>35</v>
      </c>
      <c r="B39" s="5"/>
      <c r="C39" s="14" t="s">
        <v>46</v>
      </c>
      <c r="D39" s="7">
        <v>0</v>
      </c>
      <c r="E39" s="7">
        <v>120238</v>
      </c>
      <c r="F39" s="7">
        <v>0</v>
      </c>
      <c r="G39" s="7">
        <v>0</v>
      </c>
      <c r="H39" s="8">
        <f t="shared" si="2"/>
        <v>120238</v>
      </c>
    </row>
    <row r="40" spans="1:8">
      <c r="A40" s="4">
        <f t="shared" si="3"/>
        <v>36</v>
      </c>
      <c r="B40" s="5"/>
      <c r="C40" s="14" t="s">
        <v>47</v>
      </c>
      <c r="D40" s="7">
        <v>0</v>
      </c>
      <c r="E40" s="7">
        <v>166500</v>
      </c>
      <c r="F40" s="7">
        <v>58811</v>
      </c>
      <c r="G40" s="7">
        <v>0</v>
      </c>
      <c r="H40" s="8">
        <f t="shared" si="2"/>
        <v>225311</v>
      </c>
    </row>
    <row r="41" spans="1:8">
      <c r="A41" s="4">
        <f t="shared" si="3"/>
        <v>37</v>
      </c>
      <c r="B41" s="5"/>
      <c r="C41" s="14" t="s">
        <v>48</v>
      </c>
      <c r="D41" s="7">
        <v>0</v>
      </c>
      <c r="E41" s="7">
        <v>538064</v>
      </c>
      <c r="F41" s="7">
        <v>0</v>
      </c>
      <c r="G41" s="7">
        <v>0</v>
      </c>
      <c r="H41" s="8">
        <f t="shared" si="2"/>
        <v>538064</v>
      </c>
    </row>
    <row r="42" spans="1:8">
      <c r="A42" s="4">
        <f t="shared" si="3"/>
        <v>38</v>
      </c>
      <c r="B42" s="5"/>
      <c r="C42" s="14" t="s">
        <v>49</v>
      </c>
      <c r="D42" s="7">
        <f>25096+59325</f>
        <v>84421</v>
      </c>
      <c r="E42" s="7">
        <v>50133</v>
      </c>
      <c r="F42" s="7">
        <v>76641</v>
      </c>
      <c r="G42" s="7">
        <v>0</v>
      </c>
      <c r="H42" s="8">
        <f t="shared" si="2"/>
        <v>211195</v>
      </c>
    </row>
    <row r="43" spans="1:8">
      <c r="A43" s="4">
        <f t="shared" si="3"/>
        <v>39</v>
      </c>
      <c r="B43" s="5"/>
      <c r="C43" s="14"/>
      <c r="D43" s="7"/>
      <c r="E43" s="30"/>
      <c r="F43" s="30"/>
      <c r="G43" s="30"/>
      <c r="H43" s="8">
        <f t="shared" si="2"/>
        <v>0</v>
      </c>
    </row>
    <row r="44" spans="1:8">
      <c r="A44" s="4">
        <f t="shared" si="3"/>
        <v>40</v>
      </c>
      <c r="B44" s="31"/>
      <c r="C44" s="32"/>
      <c r="D44" s="7"/>
      <c r="E44" s="7"/>
      <c r="F44" s="7"/>
      <c r="G44" s="7"/>
      <c r="H44" s="8">
        <f t="shared" si="2"/>
        <v>0</v>
      </c>
    </row>
    <row r="45" spans="1:8">
      <c r="A45" s="33">
        <f t="shared" si="3"/>
        <v>41</v>
      </c>
      <c r="B45" s="15">
        <v>6</v>
      </c>
      <c r="C45" s="16" t="s">
        <v>50</v>
      </c>
      <c r="D45" s="34">
        <f>SUM(D28:D44)</f>
        <v>4355013</v>
      </c>
      <c r="E45" s="34">
        <f>SUM(E28:E44)</f>
        <v>2451420</v>
      </c>
      <c r="F45" s="34">
        <f>SUM(F28:F44)</f>
        <v>5581228</v>
      </c>
      <c r="G45" s="34">
        <f>SUM(G28:G44)</f>
        <v>29717440</v>
      </c>
      <c r="H45" s="35">
        <f>SUM(H28:H42)</f>
        <v>42105101</v>
      </c>
    </row>
    <row r="46" spans="1:8">
      <c r="A46" s="4">
        <f t="shared" si="3"/>
        <v>42</v>
      </c>
      <c r="B46" s="36"/>
      <c r="C46" s="14" t="s">
        <v>51</v>
      </c>
      <c r="D46" s="7">
        <v>943111</v>
      </c>
      <c r="E46" s="7">
        <v>435163</v>
      </c>
      <c r="F46" s="7">
        <v>755856</v>
      </c>
      <c r="G46" s="7">
        <v>0</v>
      </c>
      <c r="H46" s="8">
        <f>SUM(D46:G46)</f>
        <v>2134130</v>
      </c>
    </row>
    <row r="47" spans="1:8">
      <c r="A47" s="4">
        <f t="shared" si="3"/>
        <v>43</v>
      </c>
      <c r="B47" s="36"/>
      <c r="C47" s="14" t="s">
        <v>52</v>
      </c>
      <c r="D47" s="7">
        <f>405000-140000</f>
        <v>265000</v>
      </c>
      <c r="E47" s="7">
        <v>0</v>
      </c>
      <c r="F47" s="7">
        <f>7800+231479+11248</f>
        <v>250527</v>
      </c>
      <c r="G47" s="7">
        <v>0</v>
      </c>
      <c r="H47" s="8">
        <f>SUM(D47:G47)</f>
        <v>515527</v>
      </c>
    </row>
    <row r="48" spans="1:8">
      <c r="A48" s="4">
        <f t="shared" si="3"/>
        <v>44</v>
      </c>
      <c r="B48" s="36"/>
      <c r="C48" s="14" t="s">
        <v>53</v>
      </c>
      <c r="D48" s="7">
        <f>27661+442490+384500</f>
        <v>854651</v>
      </c>
      <c r="E48" s="7">
        <v>55200</v>
      </c>
      <c r="F48" s="7">
        <v>15900</v>
      </c>
      <c r="G48" s="7">
        <v>0</v>
      </c>
      <c r="H48" s="8">
        <f>SUM(D48:G48)</f>
        <v>925751</v>
      </c>
    </row>
    <row r="49" spans="1:8">
      <c r="A49" s="9">
        <f t="shared" si="3"/>
        <v>45</v>
      </c>
      <c r="B49" s="10">
        <v>7</v>
      </c>
      <c r="C49" s="16" t="s">
        <v>54</v>
      </c>
      <c r="D49" s="34">
        <f>SUM(D46:D48)</f>
        <v>2062762</v>
      </c>
      <c r="E49" s="34">
        <f>SUM(E46:E48)</f>
        <v>490363</v>
      </c>
      <c r="F49" s="34">
        <f>SUM(F46:F48)</f>
        <v>1022283</v>
      </c>
      <c r="G49" s="34">
        <f>SUM(G46:G48)</f>
        <v>0</v>
      </c>
      <c r="H49" s="35">
        <f>SUM(H46:H48)</f>
        <v>3575408</v>
      </c>
    </row>
    <row r="50" spans="1:8">
      <c r="A50" s="4">
        <f t="shared" si="3"/>
        <v>46</v>
      </c>
      <c r="B50" s="5">
        <v>8</v>
      </c>
      <c r="C50" s="14" t="s">
        <v>55</v>
      </c>
      <c r="D50" s="7">
        <v>0</v>
      </c>
      <c r="E50" s="7">
        <v>0</v>
      </c>
      <c r="F50" s="7">
        <v>0</v>
      </c>
      <c r="G50" s="7">
        <v>0</v>
      </c>
      <c r="H50" s="8">
        <f>SUM(D50:G50)</f>
        <v>0</v>
      </c>
    </row>
    <row r="51" spans="1:8">
      <c r="A51" s="4">
        <f t="shared" si="3"/>
        <v>47</v>
      </c>
      <c r="B51" s="5">
        <v>9</v>
      </c>
      <c r="C51" s="14" t="s">
        <v>56</v>
      </c>
      <c r="D51" s="7">
        <v>4476917</v>
      </c>
      <c r="E51" s="20">
        <v>18880</v>
      </c>
      <c r="F51" s="20">
        <v>206671</v>
      </c>
      <c r="G51" s="19">
        <v>0</v>
      </c>
      <c r="H51" s="8">
        <f>SUM(D51:G51)</f>
        <v>4702468</v>
      </c>
    </row>
    <row r="52" spans="1:8">
      <c r="A52" s="9">
        <f t="shared" si="3"/>
        <v>48</v>
      </c>
      <c r="B52" s="15" t="s">
        <v>57</v>
      </c>
      <c r="C52" s="16" t="s">
        <v>58</v>
      </c>
      <c r="D52" s="12">
        <f>D27+D45+D49+D50+D51</f>
        <v>16693806</v>
      </c>
      <c r="E52" s="12">
        <f>E27+E45+E49+E50+E51</f>
        <v>17608553</v>
      </c>
      <c r="F52" s="12">
        <f>F27+F45+F49+F50+F51</f>
        <v>17140989</v>
      </c>
      <c r="G52" s="12">
        <f>G27+G45+G49+G50+G51</f>
        <v>66219624</v>
      </c>
      <c r="H52" s="13">
        <f>H27+H45+H49+H50+H51</f>
        <v>117662972</v>
      </c>
    </row>
    <row r="53" spans="1:8">
      <c r="A53" s="4">
        <f t="shared" si="3"/>
        <v>49</v>
      </c>
      <c r="B53" s="5"/>
      <c r="C53" s="14" t="s">
        <v>59</v>
      </c>
      <c r="D53" s="7">
        <v>10918839</v>
      </c>
      <c r="E53" s="7">
        <v>4695317</v>
      </c>
      <c r="F53" s="7">
        <v>38293261</v>
      </c>
      <c r="G53" s="7">
        <v>1422111</v>
      </c>
      <c r="H53" s="8">
        <f>SUM(D53:G53)</f>
        <v>55329528</v>
      </c>
    </row>
    <row r="54" spans="1:8">
      <c r="A54" s="4">
        <f t="shared" si="3"/>
        <v>50</v>
      </c>
      <c r="B54" s="5"/>
      <c r="C54" s="14" t="s">
        <v>60</v>
      </c>
      <c r="D54" s="7">
        <v>0</v>
      </c>
      <c r="E54" s="7">
        <v>0</v>
      </c>
      <c r="F54" s="7">
        <v>0</v>
      </c>
      <c r="G54" s="7">
        <v>0</v>
      </c>
      <c r="H54" s="8">
        <f>SUM(D54:G54)</f>
        <v>0</v>
      </c>
    </row>
    <row r="55" spans="1:8">
      <c r="A55" s="4">
        <f t="shared" si="3"/>
        <v>51</v>
      </c>
      <c r="B55" s="5"/>
      <c r="C55" s="14" t="s">
        <v>61</v>
      </c>
      <c r="D55" s="7">
        <v>0</v>
      </c>
      <c r="E55" s="7">
        <v>0</v>
      </c>
      <c r="F55" s="7">
        <v>0</v>
      </c>
      <c r="G55" s="7">
        <v>0</v>
      </c>
      <c r="H55" s="8">
        <f>SUM(D55:G55)</f>
        <v>0</v>
      </c>
    </row>
    <row r="56" spans="1:8">
      <c r="A56" s="9">
        <f t="shared" si="3"/>
        <v>52</v>
      </c>
      <c r="B56" s="15">
        <v>10</v>
      </c>
      <c r="C56" s="16" t="s">
        <v>62</v>
      </c>
      <c r="D56" s="34">
        <f>SUM(D53:D55)</f>
        <v>10918839</v>
      </c>
      <c r="E56" s="34">
        <f>SUM(E53:E55)</f>
        <v>4695317</v>
      </c>
      <c r="F56" s="34">
        <f>SUM(F53:F55)</f>
        <v>38293261</v>
      </c>
      <c r="G56" s="34">
        <f>SUM(G53:G55)</f>
        <v>1422111</v>
      </c>
      <c r="H56" s="35">
        <f>SUM(H53:H55)</f>
        <v>55329528</v>
      </c>
    </row>
    <row r="57" spans="1:8">
      <c r="A57" s="4">
        <f t="shared" si="3"/>
        <v>53</v>
      </c>
      <c r="B57" s="37"/>
      <c r="C57" s="14" t="s">
        <v>63</v>
      </c>
      <c r="D57" s="7">
        <v>7560</v>
      </c>
      <c r="E57" s="7">
        <v>29613</v>
      </c>
      <c r="F57" s="7">
        <v>80831</v>
      </c>
      <c r="G57" s="7">
        <v>0</v>
      </c>
      <c r="H57" s="8">
        <f t="shared" ref="H57:H63" si="4">SUM(D57:G57)</f>
        <v>118004</v>
      </c>
    </row>
    <row r="58" spans="1:8">
      <c r="A58" s="4">
        <f t="shared" si="3"/>
        <v>54</v>
      </c>
      <c r="B58" s="37"/>
      <c r="C58" s="14" t="s">
        <v>64</v>
      </c>
      <c r="D58" s="7">
        <v>37476</v>
      </c>
      <c r="E58" s="7">
        <v>0</v>
      </c>
      <c r="F58" s="7">
        <v>91615</v>
      </c>
      <c r="G58" s="7">
        <v>0</v>
      </c>
      <c r="H58" s="8">
        <f t="shared" si="4"/>
        <v>129091</v>
      </c>
    </row>
    <row r="59" spans="1:8">
      <c r="A59" s="4">
        <f t="shared" si="3"/>
        <v>55</v>
      </c>
      <c r="B59" s="37"/>
      <c r="C59" s="14" t="s">
        <v>65</v>
      </c>
      <c r="D59" s="7">
        <v>258468</v>
      </c>
      <c r="E59" s="7">
        <v>37484</v>
      </c>
      <c r="F59" s="7">
        <v>978886</v>
      </c>
      <c r="G59" s="7">
        <v>0</v>
      </c>
      <c r="H59" s="8">
        <f t="shared" si="4"/>
        <v>1274838</v>
      </c>
    </row>
    <row r="60" spans="1:8">
      <c r="A60" s="4">
        <f t="shared" si="3"/>
        <v>56</v>
      </c>
      <c r="B60" s="5"/>
      <c r="C60" s="14" t="s">
        <v>66</v>
      </c>
      <c r="D60" s="7">
        <v>508800</v>
      </c>
      <c r="E60" s="7">
        <v>440000</v>
      </c>
      <c r="F60" s="7">
        <v>2971200</v>
      </c>
      <c r="G60" s="7">
        <v>0</v>
      </c>
      <c r="H60" s="8">
        <f t="shared" si="4"/>
        <v>3920000</v>
      </c>
    </row>
    <row r="61" spans="1:8">
      <c r="A61" s="4">
        <f t="shared" si="3"/>
        <v>57</v>
      </c>
      <c r="B61" s="5"/>
      <c r="C61" s="14" t="s">
        <v>67</v>
      </c>
      <c r="D61" s="7">
        <v>106692</v>
      </c>
      <c r="E61" s="7">
        <v>25000</v>
      </c>
      <c r="F61" s="7">
        <v>135000</v>
      </c>
      <c r="G61" s="7">
        <v>0</v>
      </c>
      <c r="H61" s="8">
        <f t="shared" si="4"/>
        <v>266692</v>
      </c>
    </row>
    <row r="62" spans="1:8">
      <c r="A62" s="4">
        <f t="shared" si="3"/>
        <v>58</v>
      </c>
      <c r="B62" s="5"/>
      <c r="C62" s="14" t="s">
        <v>68</v>
      </c>
      <c r="D62" s="7">
        <v>0</v>
      </c>
      <c r="E62" s="7">
        <v>103122</v>
      </c>
      <c r="F62" s="7">
        <v>0</v>
      </c>
      <c r="G62" s="7">
        <v>0</v>
      </c>
      <c r="H62" s="8">
        <f t="shared" si="4"/>
        <v>103122</v>
      </c>
    </row>
    <row r="63" spans="1:8">
      <c r="A63" s="4">
        <f t="shared" si="3"/>
        <v>59</v>
      </c>
      <c r="B63" s="5"/>
      <c r="C63" s="14" t="s">
        <v>69</v>
      </c>
      <c r="D63" s="7">
        <v>164400</v>
      </c>
      <c r="E63" s="7">
        <v>21720</v>
      </c>
      <c r="F63" s="7">
        <f>8538+41170+236976</f>
        <v>286684</v>
      </c>
      <c r="G63" s="7">
        <v>0</v>
      </c>
      <c r="H63" s="8">
        <f t="shared" si="4"/>
        <v>472804</v>
      </c>
    </row>
    <row r="64" spans="1:8" ht="29.25">
      <c r="A64" s="9">
        <f t="shared" si="3"/>
        <v>60</v>
      </c>
      <c r="B64" s="15">
        <v>11</v>
      </c>
      <c r="C64" s="38" t="s">
        <v>70</v>
      </c>
      <c r="D64" s="12">
        <f>SUM(D57:D63)</f>
        <v>1083396</v>
      </c>
      <c r="E64" s="12">
        <f>SUM(E57:E63)</f>
        <v>656939</v>
      </c>
      <c r="F64" s="12">
        <f>SUM(F57:F63)</f>
        <v>4544216</v>
      </c>
      <c r="G64" s="12">
        <f>SUM(G57:G63)</f>
        <v>0</v>
      </c>
      <c r="H64" s="13">
        <f>SUM(H57:H63)</f>
        <v>6284551</v>
      </c>
    </row>
    <row r="65" spans="1:9">
      <c r="A65" s="9">
        <f t="shared" si="3"/>
        <v>61</v>
      </c>
      <c r="B65" s="15">
        <v>12</v>
      </c>
      <c r="C65" s="16" t="s">
        <v>71</v>
      </c>
      <c r="D65" s="21">
        <v>2311504</v>
      </c>
      <c r="E65" s="21">
        <v>1172460</v>
      </c>
      <c r="F65" s="21">
        <v>9463932</v>
      </c>
      <c r="G65" s="21">
        <v>464095</v>
      </c>
      <c r="H65" s="28">
        <f>SUM(D65:G65)</f>
        <v>13411991</v>
      </c>
    </row>
    <row r="66" spans="1:9">
      <c r="A66" s="9">
        <f t="shared" si="3"/>
        <v>62</v>
      </c>
      <c r="B66" s="15" t="s">
        <v>72</v>
      </c>
      <c r="C66" s="16" t="s">
        <v>73</v>
      </c>
      <c r="D66" s="17">
        <f>SUM(D56+D64+D65)</f>
        <v>14313739</v>
      </c>
      <c r="E66" s="17">
        <f>SUM(E56+E64+E65)</f>
        <v>6524716</v>
      </c>
      <c r="F66" s="17">
        <f>SUM(F56+F64+F65)</f>
        <v>52301409</v>
      </c>
      <c r="G66" s="17">
        <f>SUM(G56+G64+G65)</f>
        <v>1886206</v>
      </c>
      <c r="H66" s="18">
        <f>SUM(H56+H64+H65)</f>
        <v>75026070</v>
      </c>
    </row>
    <row r="67" spans="1:9">
      <c r="A67" s="9">
        <f t="shared" si="3"/>
        <v>63</v>
      </c>
      <c r="B67" s="15" t="s">
        <v>74</v>
      </c>
      <c r="C67" s="16" t="s">
        <v>75</v>
      </c>
      <c r="D67" s="21">
        <v>5171872</v>
      </c>
      <c r="E67" s="39">
        <v>782794</v>
      </c>
      <c r="F67" s="39">
        <v>649092</v>
      </c>
      <c r="G67" s="39"/>
      <c r="H67" s="28">
        <f>SUM(D67:G67)</f>
        <v>6603758</v>
      </c>
      <c r="I67" s="40"/>
    </row>
    <row r="68" spans="1:9">
      <c r="A68" s="4">
        <f t="shared" si="3"/>
        <v>64</v>
      </c>
      <c r="B68" s="36"/>
      <c r="C68" s="14" t="s">
        <v>76</v>
      </c>
      <c r="D68" s="7">
        <f>I81</f>
        <v>0</v>
      </c>
      <c r="E68" s="7">
        <v>0</v>
      </c>
      <c r="F68" s="7">
        <v>0</v>
      </c>
      <c r="G68" s="7">
        <v>0</v>
      </c>
      <c r="H68" s="8">
        <f>SUM(D68:G68)</f>
        <v>0</v>
      </c>
    </row>
    <row r="69" spans="1:9">
      <c r="A69" s="4">
        <f t="shared" si="3"/>
        <v>65</v>
      </c>
      <c r="B69" s="36"/>
      <c r="C69" s="14" t="s">
        <v>77</v>
      </c>
      <c r="D69" s="7">
        <v>0</v>
      </c>
      <c r="E69" s="7">
        <v>0</v>
      </c>
      <c r="F69" s="7">
        <v>0</v>
      </c>
      <c r="G69" s="7">
        <v>0</v>
      </c>
      <c r="H69" s="8">
        <f>SUM(D69:G69)</f>
        <v>0</v>
      </c>
    </row>
    <row r="70" spans="1:9">
      <c r="A70" s="4">
        <f t="shared" ref="A70:A95" si="5">A69+1</f>
        <v>66</v>
      </c>
      <c r="B70" s="36"/>
      <c r="C70" s="14" t="s">
        <v>78</v>
      </c>
      <c r="D70" s="7">
        <v>6078</v>
      </c>
      <c r="E70" s="7">
        <f>13068+1972725+127+116</f>
        <v>1986036</v>
      </c>
      <c r="F70" s="7">
        <v>0</v>
      </c>
      <c r="G70" s="7">
        <v>0</v>
      </c>
      <c r="H70" s="8">
        <f>SUM(D70:G70)</f>
        <v>1992114</v>
      </c>
    </row>
    <row r="71" spans="1:9">
      <c r="A71" s="9">
        <f t="shared" si="5"/>
        <v>67</v>
      </c>
      <c r="B71" s="15" t="s">
        <v>79</v>
      </c>
      <c r="C71" s="16" t="s">
        <v>80</v>
      </c>
      <c r="D71" s="34">
        <f>D68+D69+D70</f>
        <v>6078</v>
      </c>
      <c r="E71" s="34">
        <f>E68+E69+E70</f>
        <v>1986036</v>
      </c>
      <c r="F71" s="34">
        <f>F68+F69+F70</f>
        <v>0</v>
      </c>
      <c r="G71" s="34">
        <f>SUM(G68:G70)</f>
        <v>0</v>
      </c>
      <c r="H71" s="35">
        <f>SUM(H68:H70)</f>
        <v>1992114</v>
      </c>
    </row>
    <row r="72" spans="1:9">
      <c r="A72" s="4">
        <f t="shared" si="5"/>
        <v>68</v>
      </c>
      <c r="B72" s="5"/>
      <c r="C72" s="14" t="s">
        <v>81</v>
      </c>
      <c r="D72" s="7"/>
      <c r="E72" s="7"/>
      <c r="F72" s="7"/>
      <c r="G72" s="7"/>
      <c r="H72" s="8">
        <f>SUM(D72:G72)</f>
        <v>0</v>
      </c>
    </row>
    <row r="73" spans="1:9" ht="29.25">
      <c r="A73" s="9">
        <f t="shared" si="5"/>
        <v>69</v>
      </c>
      <c r="B73" s="41" t="s">
        <v>82</v>
      </c>
      <c r="C73" s="38" t="s">
        <v>83</v>
      </c>
      <c r="D73" s="12">
        <f>D9+D12+D17-D52-D66-D67-D71</f>
        <v>-11386619</v>
      </c>
      <c r="E73" s="12">
        <f>E9-E12+E17-E52-E66-E67-E71</f>
        <v>9219249</v>
      </c>
      <c r="F73" s="12">
        <f>F9+F12+F17-F52-F66-F67-F71</f>
        <v>-5624748</v>
      </c>
      <c r="G73" s="12">
        <f>G9+G12+G17-G52-G66-G67-G71</f>
        <v>899197</v>
      </c>
      <c r="H73" s="13">
        <f>H9-H12+H17-H52-H66-H67-H71</f>
        <v>-6892921</v>
      </c>
    </row>
    <row r="74" spans="1:9">
      <c r="A74" s="4">
        <f t="shared" si="5"/>
        <v>70</v>
      </c>
      <c r="B74" s="5">
        <v>13</v>
      </c>
      <c r="C74" s="14" t="s">
        <v>84</v>
      </c>
      <c r="D74" s="7"/>
      <c r="E74" s="7"/>
      <c r="F74" s="7"/>
      <c r="G74" s="7"/>
      <c r="H74" s="8">
        <f t="shared" ref="H74:H82" si="6">SUM(D74:G74)</f>
        <v>0</v>
      </c>
    </row>
    <row r="75" spans="1:9">
      <c r="A75" s="4">
        <f t="shared" si="5"/>
        <v>71</v>
      </c>
      <c r="B75" s="5"/>
      <c r="C75" s="14" t="s">
        <v>85</v>
      </c>
      <c r="D75" s="7"/>
      <c r="E75" s="7"/>
      <c r="F75" s="7"/>
      <c r="G75" s="7"/>
      <c r="H75" s="8">
        <f t="shared" si="6"/>
        <v>0</v>
      </c>
      <c r="I75" s="40"/>
    </row>
    <row r="76" spans="1:9">
      <c r="A76" s="4">
        <f t="shared" si="5"/>
        <v>72</v>
      </c>
      <c r="B76" s="5">
        <v>14</v>
      </c>
      <c r="C76" s="14" t="s">
        <v>86</v>
      </c>
      <c r="D76" s="7"/>
      <c r="E76" s="7"/>
      <c r="F76" s="7"/>
      <c r="G76" s="7"/>
      <c r="H76" s="8">
        <f t="shared" si="6"/>
        <v>0</v>
      </c>
      <c r="I76" s="42"/>
    </row>
    <row r="77" spans="1:9">
      <c r="A77" s="4">
        <f t="shared" si="5"/>
        <v>73</v>
      </c>
      <c r="B77" s="5"/>
      <c r="C77" s="14" t="s">
        <v>85</v>
      </c>
      <c r="D77" s="7"/>
      <c r="E77" s="7"/>
      <c r="F77" s="7"/>
      <c r="G77" s="7"/>
      <c r="H77" s="8">
        <f t="shared" si="6"/>
        <v>0</v>
      </c>
      <c r="I77" s="42"/>
    </row>
    <row r="78" spans="1:9">
      <c r="A78" s="4">
        <f t="shared" si="5"/>
        <v>74</v>
      </c>
      <c r="B78" s="5">
        <v>15</v>
      </c>
      <c r="C78" s="14" t="s">
        <v>87</v>
      </c>
      <c r="D78" s="7"/>
      <c r="E78" s="7"/>
      <c r="F78" s="7"/>
      <c r="G78" s="7"/>
      <c r="H78" s="8">
        <f t="shared" si="6"/>
        <v>0</v>
      </c>
    </row>
    <row r="79" spans="1:9">
      <c r="A79" s="4">
        <f t="shared" si="5"/>
        <v>75</v>
      </c>
      <c r="B79" s="43"/>
      <c r="C79" s="14" t="s">
        <v>85</v>
      </c>
      <c r="D79" s="7"/>
      <c r="E79" s="7"/>
      <c r="F79" s="7"/>
      <c r="G79" s="7"/>
      <c r="H79" s="8">
        <f t="shared" si="6"/>
        <v>0</v>
      </c>
      <c r="I79" s="40"/>
    </row>
    <row r="80" spans="1:9">
      <c r="A80" s="4">
        <f t="shared" si="5"/>
        <v>76</v>
      </c>
      <c r="B80" s="5">
        <v>16</v>
      </c>
      <c r="C80" s="14" t="s">
        <v>88</v>
      </c>
      <c r="D80" s="7">
        <v>858</v>
      </c>
      <c r="E80" s="7">
        <v>401</v>
      </c>
      <c r="F80" s="7">
        <v>454</v>
      </c>
      <c r="G80" s="7"/>
      <c r="H80" s="8">
        <f t="shared" si="6"/>
        <v>1713</v>
      </c>
    </row>
    <row r="81" spans="1:9">
      <c r="A81" s="4">
        <f t="shared" si="5"/>
        <v>77</v>
      </c>
      <c r="B81" s="5"/>
      <c r="C81" s="44" t="s">
        <v>85</v>
      </c>
      <c r="D81" s="7"/>
      <c r="E81" s="7"/>
      <c r="F81" s="7"/>
      <c r="G81" s="7"/>
      <c r="H81" s="8">
        <f t="shared" si="6"/>
        <v>0</v>
      </c>
      <c r="I81" s="45"/>
    </row>
    <row r="82" spans="1:9">
      <c r="A82" s="4">
        <f t="shared" si="5"/>
        <v>78</v>
      </c>
      <c r="B82" s="5">
        <v>17</v>
      </c>
      <c r="C82" s="6" t="s">
        <v>89</v>
      </c>
      <c r="D82" s="7"/>
      <c r="E82" s="7"/>
      <c r="F82" s="7"/>
      <c r="G82" s="7"/>
      <c r="H82" s="8">
        <f t="shared" si="6"/>
        <v>0</v>
      </c>
    </row>
    <row r="83" spans="1:9">
      <c r="A83" s="9">
        <f t="shared" si="5"/>
        <v>79</v>
      </c>
      <c r="B83" s="15" t="s">
        <v>90</v>
      </c>
      <c r="C83" s="11" t="s">
        <v>91</v>
      </c>
      <c r="D83" s="12">
        <f>+D74+D76+D78+D80+D82</f>
        <v>858</v>
      </c>
      <c r="E83" s="12">
        <f>+E74+E76+E78+E80+E82</f>
        <v>401</v>
      </c>
      <c r="F83" s="12">
        <f>+F74+F76+F78+F80+F82</f>
        <v>454</v>
      </c>
      <c r="G83" s="12">
        <f>+G74+G76+G78+G80+G82</f>
        <v>0</v>
      </c>
      <c r="H83" s="13">
        <f>+H74+H76+H78+H80+H82</f>
        <v>1713</v>
      </c>
      <c r="I83" s="45"/>
    </row>
    <row r="84" spans="1:9">
      <c r="A84" s="4">
        <f t="shared" si="5"/>
        <v>80</v>
      </c>
      <c r="B84" s="5">
        <v>19</v>
      </c>
      <c r="C84" s="6" t="s">
        <v>92</v>
      </c>
      <c r="D84" s="7"/>
      <c r="E84" s="7"/>
      <c r="F84" s="7"/>
      <c r="G84" s="7"/>
      <c r="H84" s="8">
        <f t="shared" ref="H84:H89" si="7">SUM(D84:G84)</f>
        <v>0</v>
      </c>
    </row>
    <row r="85" spans="1:9">
      <c r="A85" s="4">
        <f t="shared" si="5"/>
        <v>81</v>
      </c>
      <c r="B85" s="5"/>
      <c r="C85" s="44" t="s">
        <v>93</v>
      </c>
      <c r="D85" s="7"/>
      <c r="E85" s="7"/>
      <c r="F85" s="7"/>
      <c r="G85" s="7"/>
      <c r="H85" s="8">
        <f t="shared" si="7"/>
        <v>0</v>
      </c>
    </row>
    <row r="86" spans="1:9">
      <c r="A86" s="4">
        <f t="shared" si="5"/>
        <v>82</v>
      </c>
      <c r="B86" s="5">
        <v>20</v>
      </c>
      <c r="C86" s="44" t="s">
        <v>94</v>
      </c>
      <c r="D86" s="7"/>
      <c r="E86" s="20"/>
      <c r="F86" s="20"/>
      <c r="G86" s="20"/>
      <c r="H86" s="8">
        <f t="shared" si="7"/>
        <v>0</v>
      </c>
    </row>
    <row r="87" spans="1:9">
      <c r="A87" s="4">
        <f t="shared" si="5"/>
        <v>83</v>
      </c>
      <c r="B87" s="5"/>
      <c r="C87" s="44" t="s">
        <v>93</v>
      </c>
      <c r="D87" s="7"/>
      <c r="E87" s="7"/>
      <c r="F87" s="7"/>
      <c r="G87" s="7"/>
      <c r="H87" s="8">
        <f t="shared" si="7"/>
        <v>0</v>
      </c>
    </row>
    <row r="88" spans="1:9">
      <c r="A88" s="4">
        <f t="shared" si="5"/>
        <v>84</v>
      </c>
      <c r="B88" s="5">
        <v>21</v>
      </c>
      <c r="C88" s="6" t="s">
        <v>95</v>
      </c>
      <c r="D88" s="7"/>
      <c r="E88" s="7"/>
      <c r="F88" s="7"/>
      <c r="G88" s="7"/>
      <c r="H88" s="8">
        <f t="shared" si="7"/>
        <v>0</v>
      </c>
    </row>
    <row r="89" spans="1:9">
      <c r="A89" s="4">
        <f t="shared" si="5"/>
        <v>85</v>
      </c>
      <c r="B89" s="5">
        <v>22</v>
      </c>
      <c r="C89" s="44" t="s">
        <v>96</v>
      </c>
      <c r="D89" s="7"/>
      <c r="E89" s="7"/>
      <c r="F89" s="7"/>
      <c r="G89" s="7"/>
      <c r="H89" s="8">
        <f t="shared" si="7"/>
        <v>0</v>
      </c>
    </row>
    <row r="90" spans="1:9">
      <c r="A90" s="9">
        <f t="shared" si="5"/>
        <v>86</v>
      </c>
      <c r="B90" s="15" t="s">
        <v>97</v>
      </c>
      <c r="C90" s="11" t="s">
        <v>98</v>
      </c>
      <c r="D90" s="12">
        <f>+D84+D86+D88+D89</f>
        <v>0</v>
      </c>
      <c r="E90" s="12">
        <f>+E84+E86+E88+E89</f>
        <v>0</v>
      </c>
      <c r="F90" s="12">
        <f>+F84+F86+F88+F89</f>
        <v>0</v>
      </c>
      <c r="G90" s="12">
        <f>+G84+G86+G88+G89</f>
        <v>0</v>
      </c>
      <c r="H90" s="13">
        <f>+H84+H86+H88+H89</f>
        <v>0</v>
      </c>
    </row>
    <row r="91" spans="1:9">
      <c r="A91" s="9">
        <f t="shared" si="5"/>
        <v>87</v>
      </c>
      <c r="B91" s="15" t="s">
        <v>99</v>
      </c>
      <c r="C91" s="11" t="s">
        <v>100</v>
      </c>
      <c r="D91" s="12">
        <f>+D83-D90</f>
        <v>858</v>
      </c>
      <c r="E91" s="12">
        <f>+E83-E90</f>
        <v>401</v>
      </c>
      <c r="F91" s="12">
        <f>+F83-F90</f>
        <v>454</v>
      </c>
      <c r="G91" s="12">
        <f>+G83-G90</f>
        <v>0</v>
      </c>
      <c r="H91" s="13">
        <f>+H83-H90</f>
        <v>1713</v>
      </c>
    </row>
    <row r="92" spans="1:9">
      <c r="A92" s="9">
        <f t="shared" si="5"/>
        <v>88</v>
      </c>
      <c r="B92" s="46" t="s">
        <v>101</v>
      </c>
      <c r="C92" s="47" t="s">
        <v>102</v>
      </c>
      <c r="D92" s="12">
        <f>+D73+D91</f>
        <v>-11385761</v>
      </c>
      <c r="E92" s="12">
        <f>+E73+E91</f>
        <v>9219650</v>
      </c>
      <c r="F92" s="12">
        <f>+F73+F91</f>
        <v>-5624294</v>
      </c>
      <c r="G92" s="12">
        <f>+G73+G91</f>
        <v>899197</v>
      </c>
      <c r="H92" s="13">
        <f>+H73+H91</f>
        <v>-6891208</v>
      </c>
    </row>
    <row r="93" spans="1:9">
      <c r="A93" s="4">
        <f t="shared" si="5"/>
        <v>89</v>
      </c>
      <c r="B93" s="48" t="s">
        <v>103</v>
      </c>
      <c r="C93" s="49" t="s">
        <v>104</v>
      </c>
      <c r="D93" s="7"/>
      <c r="E93" s="50"/>
      <c r="F93" s="50"/>
      <c r="G93" s="50"/>
      <c r="H93" s="51"/>
    </row>
    <row r="94" spans="1:9">
      <c r="A94" s="9">
        <f t="shared" si="5"/>
        <v>90</v>
      </c>
      <c r="B94" s="15" t="s">
        <v>105</v>
      </c>
      <c r="C94" s="16" t="s">
        <v>106</v>
      </c>
      <c r="D94" s="12">
        <f>D92-D93</f>
        <v>-11385761</v>
      </c>
      <c r="E94" s="12">
        <f>E92-E93</f>
        <v>9219650</v>
      </c>
      <c r="F94" s="12">
        <f>F92-F93</f>
        <v>-5624294</v>
      </c>
      <c r="G94" s="12">
        <f>G92-G93</f>
        <v>899197</v>
      </c>
      <c r="H94" s="13">
        <f>H92-H93</f>
        <v>-6891208</v>
      </c>
    </row>
    <row r="95" spans="1:9">
      <c r="A95" s="52">
        <f t="shared" si="5"/>
        <v>91</v>
      </c>
      <c r="B95" s="53"/>
      <c r="C95" s="54" t="s">
        <v>107</v>
      </c>
      <c r="D95" s="55"/>
      <c r="E95" s="56"/>
      <c r="F95" s="55"/>
      <c r="G95" s="56"/>
      <c r="H95" s="57">
        <v>-6891207.6299999999</v>
      </c>
    </row>
    <row r="96" spans="1:9">
      <c r="A96" s="58"/>
      <c r="B96" s="59"/>
      <c r="C96" s="60"/>
      <c r="D96" s="61"/>
      <c r="E96" s="61"/>
      <c r="F96" s="61"/>
      <c r="G96" s="61"/>
      <c r="H96" s="62">
        <f>H95-H94</f>
        <v>0.37000000011175871</v>
      </c>
    </row>
    <row r="97" spans="1:8">
      <c r="A97" s="63"/>
      <c r="B97" s="73" t="s">
        <v>108</v>
      </c>
      <c r="C97" s="73"/>
      <c r="D97" s="61"/>
      <c r="E97" s="61"/>
      <c r="F97" s="61"/>
      <c r="G97" s="64"/>
      <c r="H97" s="62"/>
    </row>
    <row r="98" spans="1:8">
      <c r="F98" s="74"/>
      <c r="G98" s="74"/>
    </row>
  </sheetData>
  <mergeCells count="3">
    <mergeCell ref="A1:H1"/>
    <mergeCell ref="B2:H2"/>
    <mergeCell ref="B97:C97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70" firstPageNumber="0" fitToWidth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4"/>
  <sheetViews>
    <sheetView zoomScaleNormal="100" zoomScalePageLayoutView="60" workbookViewId="0"/>
  </sheetViews>
  <sheetFormatPr defaultRowHeight="15"/>
  <cols>
    <col min="1" max="1" width="27.125" style="1"/>
    <col min="2" max="2" width="8.5" style="1"/>
    <col min="3" max="3" width="8.125" style="1"/>
    <col min="4" max="1025" width="8.5" style="1"/>
  </cols>
  <sheetData>
    <row r="1" spans="1:6">
      <c r="B1" s="1" t="s">
        <v>109</v>
      </c>
      <c r="C1" s="1" t="s">
        <v>110</v>
      </c>
      <c r="D1" s="1" t="s">
        <v>111</v>
      </c>
      <c r="E1" s="1" t="s">
        <v>112</v>
      </c>
    </row>
    <row r="2" spans="1:6">
      <c r="A2" s="1" t="s">
        <v>113</v>
      </c>
      <c r="B2" s="65">
        <v>10918839</v>
      </c>
      <c r="C2" s="66">
        <v>4695317</v>
      </c>
      <c r="D2" s="1">
        <v>39715372</v>
      </c>
      <c r="F2" s="1">
        <f>SUM(B2:E2)</f>
        <v>55329528</v>
      </c>
    </row>
    <row r="3" spans="1:6">
      <c r="A3" s="1" t="s">
        <v>114</v>
      </c>
      <c r="D3" s="1">
        <v>2695746</v>
      </c>
    </row>
    <row r="4" spans="1:6">
      <c r="A4" s="1" t="s">
        <v>115</v>
      </c>
      <c r="D4" s="1">
        <v>723900</v>
      </c>
    </row>
    <row r="6" spans="1:6">
      <c r="A6" s="1" t="s">
        <v>116</v>
      </c>
    </row>
    <row r="7" spans="1:6">
      <c r="A7" s="1" t="s">
        <v>63</v>
      </c>
      <c r="B7" s="65">
        <v>7560</v>
      </c>
      <c r="C7" s="67">
        <v>29613</v>
      </c>
      <c r="D7" s="1">
        <v>80831</v>
      </c>
      <c r="F7" s="1">
        <f t="shared" ref="F7:F14" si="0">SUM(B7:E7)</f>
        <v>118004</v>
      </c>
    </row>
    <row r="8" spans="1:6">
      <c r="A8" s="1" t="s">
        <v>117</v>
      </c>
      <c r="B8" s="1">
        <v>508800</v>
      </c>
      <c r="C8" s="68">
        <v>440000</v>
      </c>
      <c r="D8" s="1">
        <v>2971200</v>
      </c>
      <c r="F8" s="1">
        <f t="shared" si="0"/>
        <v>3920000</v>
      </c>
    </row>
    <row r="9" spans="1:6">
      <c r="A9" s="1" t="s">
        <v>118</v>
      </c>
      <c r="D9" s="1">
        <f>8538+41170</f>
        <v>49708</v>
      </c>
      <c r="F9" s="1">
        <f t="shared" si="0"/>
        <v>49708</v>
      </c>
    </row>
    <row r="10" spans="1:6">
      <c r="A10" s="1" t="s">
        <v>119</v>
      </c>
      <c r="B10" s="1">
        <v>106692</v>
      </c>
      <c r="C10" s="1">
        <v>25000</v>
      </c>
      <c r="D10" s="1">
        <v>135000</v>
      </c>
      <c r="F10" s="1">
        <f t="shared" si="0"/>
        <v>266692</v>
      </c>
    </row>
    <row r="11" spans="1:6">
      <c r="A11" s="1" t="s">
        <v>120</v>
      </c>
      <c r="C11" s="67">
        <v>103122</v>
      </c>
      <c r="F11" s="1">
        <f t="shared" si="0"/>
        <v>103122</v>
      </c>
    </row>
    <row r="12" spans="1:6">
      <c r="A12" s="1" t="s">
        <v>121</v>
      </c>
      <c r="B12" s="65">
        <v>164400</v>
      </c>
      <c r="C12" s="67">
        <v>21720</v>
      </c>
      <c r="D12" s="1">
        <v>236976</v>
      </c>
      <c r="F12" s="1">
        <f t="shared" si="0"/>
        <v>423096</v>
      </c>
    </row>
    <row r="13" spans="1:6">
      <c r="A13" s="1" t="s">
        <v>122</v>
      </c>
      <c r="B13" s="1">
        <v>258468</v>
      </c>
      <c r="C13" s="1">
        <v>37484</v>
      </c>
      <c r="D13" s="1">
        <v>978886</v>
      </c>
      <c r="F13" s="1">
        <f t="shared" si="0"/>
        <v>1274838</v>
      </c>
    </row>
    <row r="14" spans="1:6">
      <c r="A14" s="1" t="s">
        <v>123</v>
      </c>
      <c r="B14" s="1">
        <v>37476</v>
      </c>
      <c r="C14" s="1">
        <v>0</v>
      </c>
      <c r="D14" s="1">
        <v>91615</v>
      </c>
      <c r="F14" s="1">
        <f t="shared" si="0"/>
        <v>129091</v>
      </c>
    </row>
    <row r="18" spans="1:9">
      <c r="A18" s="1" t="s">
        <v>124</v>
      </c>
      <c r="D18" s="1">
        <v>8536178</v>
      </c>
      <c r="E18" s="1">
        <f>D18-D19</f>
        <v>-152402</v>
      </c>
    </row>
    <row r="19" spans="1:9">
      <c r="A19" s="1" t="s">
        <v>125</v>
      </c>
      <c r="B19" s="65">
        <v>2078624</v>
      </c>
      <c r="C19" s="66">
        <v>1050686</v>
      </c>
      <c r="D19" s="69">
        <v>8688580</v>
      </c>
      <c r="F19" s="1">
        <f>SUM(B19:E19)</f>
        <v>11817890</v>
      </c>
    </row>
    <row r="20" spans="1:9">
      <c r="A20" s="1" t="s">
        <v>126</v>
      </c>
      <c r="B20" s="65"/>
      <c r="C20" s="66"/>
      <c r="D20" s="1">
        <f>D4*0.27</f>
        <v>195453</v>
      </c>
    </row>
    <row r="21" spans="1:9">
      <c r="A21" s="1" t="s">
        <v>127</v>
      </c>
      <c r="B21" s="65">
        <v>107058</v>
      </c>
      <c r="C21" s="68">
        <v>62935</v>
      </c>
      <c r="D21" s="1">
        <v>659068</v>
      </c>
      <c r="F21" s="1">
        <f>SUM(B21:E21)</f>
        <v>829061</v>
      </c>
      <c r="I21" s="70"/>
    </row>
    <row r="22" spans="1:9">
      <c r="A22" s="1" t="s">
        <v>128</v>
      </c>
      <c r="B22" s="65">
        <v>90822</v>
      </c>
      <c r="C22" s="68">
        <v>52839</v>
      </c>
      <c r="D22" s="1">
        <v>530379</v>
      </c>
      <c r="F22" s="1">
        <f>SUM(B22:E22)</f>
        <v>674040</v>
      </c>
      <c r="I22" s="70"/>
    </row>
    <row r="23" spans="1:9">
      <c r="A23" s="1" t="s">
        <v>129</v>
      </c>
      <c r="B23" s="65">
        <v>35000</v>
      </c>
      <c r="C23" s="67">
        <v>6000</v>
      </c>
      <c r="D23" s="1">
        <v>50000</v>
      </c>
      <c r="F23" s="1">
        <f>SUM(B23:E23)</f>
        <v>91000</v>
      </c>
      <c r="I23" s="70"/>
    </row>
    <row r="24" spans="1:9">
      <c r="I24" s="70"/>
    </row>
    <row r="25" spans="1:9">
      <c r="A25" s="1" t="s">
        <v>130</v>
      </c>
      <c r="B25" s="65">
        <f>B19+B2+B12+B23+B7+B21+B22</f>
        <v>13402303</v>
      </c>
      <c r="I25" s="70"/>
    </row>
    <row r="26" spans="1:9">
      <c r="A26" s="1" t="s">
        <v>131</v>
      </c>
      <c r="C26" s="66">
        <f>C2+C19</f>
        <v>5746003</v>
      </c>
      <c r="I26" s="70"/>
    </row>
    <row r="27" spans="1:9">
      <c r="A27" s="1" t="s">
        <v>132</v>
      </c>
      <c r="C27" s="68">
        <f>C8+C21+C22</f>
        <v>555774</v>
      </c>
      <c r="I27" s="70"/>
    </row>
    <row r="28" spans="1:9">
      <c r="A28" s="1" t="s">
        <v>133</v>
      </c>
      <c r="C28" s="67">
        <f>C7+C11+C12+C23</f>
        <v>160455</v>
      </c>
      <c r="I28" s="70"/>
    </row>
    <row r="29" spans="1:9">
      <c r="A29" s="1" t="s">
        <v>134</v>
      </c>
      <c r="D29" s="1">
        <f>D2+D19+D23+D12-D3-D4-D20+67374-1496461</f>
        <v>43646742</v>
      </c>
      <c r="I29" s="70"/>
    </row>
    <row r="30" spans="1:9">
      <c r="A30" s="1" t="s">
        <v>135</v>
      </c>
      <c r="D30" s="1">
        <f>D8</f>
        <v>2971200</v>
      </c>
      <c r="I30" s="70"/>
    </row>
    <row r="31" spans="1:9">
      <c r="I31" s="70"/>
    </row>
    <row r="32" spans="1:9">
      <c r="I32" s="70"/>
    </row>
    <row r="33" spans="2:10">
      <c r="I33" s="70"/>
    </row>
    <row r="34" spans="2:10">
      <c r="I34" s="70"/>
    </row>
    <row r="35" spans="2:10">
      <c r="I35" s="70"/>
    </row>
    <row r="36" spans="2:10">
      <c r="I36" s="70"/>
    </row>
    <row r="37" spans="2:10">
      <c r="I37" s="70"/>
    </row>
    <row r="38" spans="2:10">
      <c r="E38" s="71"/>
      <c r="F38" s="2"/>
      <c r="G38" s="2"/>
      <c r="H38" s="71"/>
      <c r="I38" s="71"/>
      <c r="J38" s="71"/>
    </row>
    <row r="39" spans="2:10">
      <c r="E39" s="71"/>
      <c r="F39" s="2"/>
      <c r="G39" s="2"/>
      <c r="I39" s="2"/>
    </row>
    <row r="40" spans="2:10">
      <c r="E40" s="71"/>
      <c r="F40" s="2"/>
      <c r="G40" s="2"/>
      <c r="I40" s="2"/>
    </row>
    <row r="41" spans="2:10">
      <c r="E41" s="2"/>
      <c r="F41" s="2"/>
      <c r="G41" s="2"/>
      <c r="I41" s="2"/>
    </row>
    <row r="42" spans="2:10">
      <c r="E42" s="2"/>
      <c r="F42" s="2"/>
      <c r="G42" s="2"/>
      <c r="I42" s="72"/>
    </row>
    <row r="44" spans="2:10">
      <c r="B44" s="1">
        <v>16</v>
      </c>
      <c r="I44" s="70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2017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cp:lastPrinted>2017-05-17T06:25:36Z</cp:lastPrinted>
  <dcterms:created xsi:type="dcterms:W3CDTF">2017-05-17T05:49:27Z</dcterms:created>
  <dcterms:modified xsi:type="dcterms:W3CDTF">2017-05-17T06:27:15Z</dcterms:modified>
</cp:coreProperties>
</file>