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kontra dokumentumai\2018.év\Kft megszünése variációk\Számolás kis szöveges\"/>
    </mc:Choice>
  </mc:AlternateContent>
  <bookViews>
    <workbookView xWindow="0" yWindow="0" windowWidth="18870" windowHeight="9105"/>
  </bookViews>
  <sheets>
    <sheet name="2018. Tesz" sheetId="4" r:id="rId1"/>
    <sheet name="2018. Önálló inézmény" sheetId="5" r:id="rId2"/>
    <sheet name="2018. Integrálás intézménybe" sheetId="6" r:id="rId3"/>
    <sheet name="összehasonlító tábla" sheetId="7" r:id="rId4"/>
  </sheets>
  <calcPr calcId="152511" iterateDelta="1E-4"/>
</workbook>
</file>

<file path=xl/calcChain.xml><?xml version="1.0" encoding="utf-8"?>
<calcChain xmlns="http://schemas.openxmlformats.org/spreadsheetml/2006/main">
  <c r="E5" i="7" l="1"/>
  <c r="E6" i="7"/>
  <c r="E4" i="7"/>
  <c r="J30" i="6"/>
  <c r="J31" i="5"/>
  <c r="J31" i="4"/>
  <c r="Q66" i="6" l="1"/>
  <c r="Q70" i="6" s="1"/>
  <c r="Q49" i="6"/>
  <c r="Q51" i="6" s="1"/>
  <c r="Q57" i="6" s="1"/>
  <c r="Q42" i="6"/>
  <c r="Q24" i="6"/>
  <c r="Q11" i="6"/>
  <c r="Q8" i="6"/>
  <c r="Q70" i="4"/>
  <c r="Q66" i="4"/>
  <c r="Q49" i="4"/>
  <c r="Q51" i="4" s="1"/>
  <c r="Q57" i="4" s="1"/>
  <c r="Q42" i="4"/>
  <c r="Q24" i="4"/>
  <c r="Q8" i="4"/>
  <c r="Q11" i="4" s="1"/>
  <c r="Q66" i="5"/>
  <c r="Q70" i="5" s="1"/>
  <c r="Q49" i="5"/>
  <c r="Q42" i="5"/>
  <c r="Q51" i="5" s="1"/>
  <c r="Q57" i="5" s="1"/>
  <c r="Q24" i="5"/>
  <c r="Q11" i="5"/>
  <c r="Q8" i="5"/>
  <c r="N54" i="6"/>
  <c r="N52" i="6"/>
  <c r="N50" i="6"/>
  <c r="N49" i="6"/>
  <c r="N48" i="6"/>
  <c r="N43" i="6"/>
  <c r="N42" i="6"/>
  <c r="N39" i="6"/>
  <c r="N38" i="6"/>
  <c r="N37" i="6"/>
  <c r="N29" i="6"/>
  <c r="N28" i="6"/>
  <c r="N23" i="6"/>
  <c r="N20" i="6"/>
  <c r="N31" i="6" s="1"/>
  <c r="N18" i="6"/>
  <c r="N13" i="6"/>
  <c r="N8" i="6"/>
  <c r="N7" i="6"/>
  <c r="N5" i="6"/>
  <c r="N50" i="5"/>
  <c r="N49" i="5"/>
  <c r="N48" i="5"/>
  <c r="N43" i="5"/>
  <c r="N42" i="5"/>
  <c r="N39" i="5"/>
  <c r="N38" i="5"/>
  <c r="N37" i="5"/>
  <c r="N29" i="5"/>
  <c r="N28" i="5"/>
  <c r="N23" i="5"/>
  <c r="N20" i="5"/>
  <c r="N31" i="5" s="1"/>
  <c r="N18" i="5"/>
  <c r="N13" i="5"/>
  <c r="N8" i="5"/>
  <c r="N7" i="5"/>
  <c r="N5" i="5"/>
  <c r="N55" i="4"/>
  <c r="N54" i="4"/>
  <c r="N53" i="4"/>
  <c r="N52" i="4"/>
  <c r="N43" i="4"/>
  <c r="N42" i="4"/>
  <c r="N39" i="4"/>
  <c r="N38" i="4"/>
  <c r="N37" i="4"/>
  <c r="N29" i="4"/>
  <c r="N28" i="4"/>
  <c r="N23" i="4"/>
  <c r="N20" i="4"/>
  <c r="N18" i="4"/>
  <c r="N13" i="4"/>
  <c r="N8" i="4"/>
  <c r="N7" i="4"/>
  <c r="N5" i="4"/>
  <c r="H30" i="4"/>
  <c r="G30" i="4"/>
  <c r="E30" i="4"/>
  <c r="C30" i="4"/>
  <c r="D29" i="4"/>
  <c r="D28" i="4"/>
  <c r="I27" i="4"/>
  <c r="D27" i="4"/>
  <c r="I26" i="4"/>
  <c r="D26" i="4"/>
  <c r="I25" i="4"/>
  <c r="D25" i="4"/>
  <c r="D24" i="4"/>
  <c r="I23" i="4"/>
  <c r="D23" i="4"/>
  <c r="I22" i="4"/>
  <c r="D22" i="4"/>
  <c r="I21" i="4"/>
  <c r="D21" i="4"/>
  <c r="I20" i="4"/>
  <c r="D20" i="4"/>
  <c r="I19" i="4"/>
  <c r="D19" i="4"/>
  <c r="I18" i="4"/>
  <c r="D18" i="4"/>
  <c r="I17" i="4"/>
  <c r="D17" i="4"/>
  <c r="I16" i="4"/>
  <c r="D16" i="4"/>
  <c r="I15" i="4"/>
  <c r="D15" i="4"/>
  <c r="I14" i="4"/>
  <c r="D14" i="4"/>
  <c r="D13" i="4"/>
  <c r="D12" i="4"/>
  <c r="J11" i="4"/>
  <c r="D10" i="4"/>
  <c r="J9" i="4"/>
  <c r="D8" i="4"/>
  <c r="J7" i="4"/>
  <c r="D6" i="4"/>
  <c r="F5" i="4"/>
  <c r="F29" i="4" s="1"/>
  <c r="H29" i="6"/>
  <c r="G29" i="6"/>
  <c r="E29" i="6"/>
  <c r="C29" i="6"/>
  <c r="D28" i="6"/>
  <c r="D27" i="6"/>
  <c r="I26" i="6"/>
  <c r="D26" i="6"/>
  <c r="I25" i="6"/>
  <c r="D25" i="6"/>
  <c r="I24" i="6"/>
  <c r="D24" i="6"/>
  <c r="D23" i="6"/>
  <c r="I22" i="6"/>
  <c r="D22" i="6"/>
  <c r="I21" i="6"/>
  <c r="D21" i="6"/>
  <c r="I20" i="6"/>
  <c r="D20" i="6"/>
  <c r="I19" i="6"/>
  <c r="D19" i="6"/>
  <c r="I18" i="6"/>
  <c r="D18" i="6"/>
  <c r="I17" i="6"/>
  <c r="D17" i="6"/>
  <c r="I16" i="6"/>
  <c r="D16" i="6"/>
  <c r="I15" i="6"/>
  <c r="D15" i="6"/>
  <c r="I14" i="6"/>
  <c r="D14" i="6"/>
  <c r="I13" i="6"/>
  <c r="D13" i="6"/>
  <c r="D12" i="6"/>
  <c r="D11" i="6"/>
  <c r="J10" i="6"/>
  <c r="D9" i="6"/>
  <c r="J8" i="6"/>
  <c r="D7" i="6"/>
  <c r="J6" i="6"/>
  <c r="F5" i="6"/>
  <c r="F27" i="6" s="1"/>
  <c r="H30" i="5"/>
  <c r="G30" i="5"/>
  <c r="E30" i="5"/>
  <c r="C30" i="5"/>
  <c r="D29" i="5"/>
  <c r="D28" i="5"/>
  <c r="I27" i="5"/>
  <c r="D27" i="5"/>
  <c r="I26" i="5"/>
  <c r="D26" i="5"/>
  <c r="I25" i="5"/>
  <c r="I30" i="5" s="1"/>
  <c r="D25" i="5"/>
  <c r="D24" i="5"/>
  <c r="I23" i="5"/>
  <c r="D23" i="5"/>
  <c r="I22" i="5"/>
  <c r="D22" i="5"/>
  <c r="I21" i="5"/>
  <c r="D21" i="5"/>
  <c r="I20" i="5"/>
  <c r="D20" i="5"/>
  <c r="I19" i="5"/>
  <c r="D19" i="5"/>
  <c r="I18" i="5"/>
  <c r="D18" i="5"/>
  <c r="I17" i="5"/>
  <c r="D17" i="5"/>
  <c r="I16" i="5"/>
  <c r="D16" i="5"/>
  <c r="I15" i="5"/>
  <c r="D15" i="5"/>
  <c r="I14" i="5"/>
  <c r="D14" i="5"/>
  <c r="D13" i="5"/>
  <c r="D12" i="5"/>
  <c r="J11" i="5"/>
  <c r="D10" i="5"/>
  <c r="J9" i="5"/>
  <c r="D8" i="5"/>
  <c r="J7" i="5"/>
  <c r="D6" i="5"/>
  <c r="D30" i="5" s="1"/>
  <c r="F5" i="5"/>
  <c r="F28" i="5" s="1"/>
  <c r="Q58" i="6" l="1"/>
  <c r="Q59" i="6" s="1"/>
  <c r="Q59" i="4"/>
  <c r="Q58" i="4"/>
  <c r="Q58" i="5"/>
  <c r="Q59" i="5" s="1"/>
  <c r="D29" i="6"/>
  <c r="N16" i="6"/>
  <c r="N45" i="6"/>
  <c r="N53" i="6"/>
  <c r="N16" i="5"/>
  <c r="N45" i="5"/>
  <c r="N52" i="5"/>
  <c r="N53" i="5" s="1"/>
  <c r="N16" i="4"/>
  <c r="N56" i="4"/>
  <c r="F28" i="4"/>
  <c r="J28" i="4" s="1"/>
  <c r="D30" i="4"/>
  <c r="F13" i="4"/>
  <c r="J13" i="4" s="1"/>
  <c r="I30" i="4"/>
  <c r="N45" i="4"/>
  <c r="F26" i="4"/>
  <c r="J26" i="4" s="1"/>
  <c r="N31" i="4"/>
  <c r="F25" i="4"/>
  <c r="J25" i="4" s="1"/>
  <c r="F27" i="4"/>
  <c r="J27" i="4" s="1"/>
  <c r="J29" i="4"/>
  <c r="F6" i="4"/>
  <c r="F8" i="4"/>
  <c r="J8" i="4" s="1"/>
  <c r="F10" i="4"/>
  <c r="J10" i="4" s="1"/>
  <c r="F12" i="4"/>
  <c r="J12" i="4" s="1"/>
  <c r="F14" i="4"/>
  <c r="J14" i="4" s="1"/>
  <c r="F15" i="4"/>
  <c r="J15" i="4" s="1"/>
  <c r="F16" i="4"/>
  <c r="J16" i="4" s="1"/>
  <c r="F17" i="4"/>
  <c r="J17" i="4" s="1"/>
  <c r="F18" i="4"/>
  <c r="J18" i="4" s="1"/>
  <c r="F19" i="4"/>
  <c r="J19" i="4" s="1"/>
  <c r="F20" i="4"/>
  <c r="J20" i="4" s="1"/>
  <c r="F21" i="4"/>
  <c r="J21" i="4" s="1"/>
  <c r="F22" i="4"/>
  <c r="J22" i="4" s="1"/>
  <c r="F23" i="4"/>
  <c r="J23" i="4" s="1"/>
  <c r="F24" i="4"/>
  <c r="J24" i="4" s="1"/>
  <c r="I29" i="6"/>
  <c r="J27" i="6"/>
  <c r="F7" i="6"/>
  <c r="J7" i="6" s="1"/>
  <c r="F9" i="6"/>
  <c r="J9" i="6" s="1"/>
  <c r="F11" i="6"/>
  <c r="J11" i="6" s="1"/>
  <c r="F13" i="6"/>
  <c r="J13" i="6" s="1"/>
  <c r="F14" i="6"/>
  <c r="J14" i="6" s="1"/>
  <c r="F15" i="6"/>
  <c r="J15" i="6" s="1"/>
  <c r="F16" i="6"/>
  <c r="J16" i="6" s="1"/>
  <c r="F17" i="6"/>
  <c r="J17" i="6" s="1"/>
  <c r="F18" i="6"/>
  <c r="J18" i="6" s="1"/>
  <c r="F19" i="6"/>
  <c r="J19" i="6" s="1"/>
  <c r="F20" i="6"/>
  <c r="J20" i="6" s="1"/>
  <c r="F21" i="6"/>
  <c r="J21" i="6" s="1"/>
  <c r="F22" i="6"/>
  <c r="J22" i="6" s="1"/>
  <c r="F23" i="6"/>
  <c r="J23" i="6" s="1"/>
  <c r="F28" i="6"/>
  <c r="J28" i="6" s="1"/>
  <c r="F12" i="6"/>
  <c r="J12" i="6" s="1"/>
  <c r="F24" i="6"/>
  <c r="J24" i="6" s="1"/>
  <c r="F25" i="6"/>
  <c r="J25" i="6" s="1"/>
  <c r="F26" i="6"/>
  <c r="J26" i="6" s="1"/>
  <c r="J28" i="5"/>
  <c r="F6" i="5"/>
  <c r="F8" i="5"/>
  <c r="J8" i="5" s="1"/>
  <c r="F10" i="5"/>
  <c r="J10" i="5" s="1"/>
  <c r="F12" i="5"/>
  <c r="J12" i="5" s="1"/>
  <c r="F14" i="5"/>
  <c r="J14" i="5" s="1"/>
  <c r="F15" i="5"/>
  <c r="J15" i="5" s="1"/>
  <c r="F16" i="5"/>
  <c r="J16" i="5" s="1"/>
  <c r="F17" i="5"/>
  <c r="J17" i="5" s="1"/>
  <c r="F18" i="5"/>
  <c r="J18" i="5" s="1"/>
  <c r="F19" i="5"/>
  <c r="J19" i="5" s="1"/>
  <c r="F20" i="5"/>
  <c r="J20" i="5" s="1"/>
  <c r="F21" i="5"/>
  <c r="J21" i="5" s="1"/>
  <c r="F22" i="5"/>
  <c r="J22" i="5" s="1"/>
  <c r="F23" i="5"/>
  <c r="J23" i="5" s="1"/>
  <c r="F24" i="5"/>
  <c r="J24" i="5" s="1"/>
  <c r="F29" i="5"/>
  <c r="J29" i="5" s="1"/>
  <c r="J6" i="5"/>
  <c r="F13" i="5"/>
  <c r="J13" i="5" s="1"/>
  <c r="F25" i="5"/>
  <c r="J25" i="5" s="1"/>
  <c r="F26" i="5"/>
  <c r="J26" i="5" s="1"/>
  <c r="F27" i="5"/>
  <c r="J27" i="5" s="1"/>
  <c r="N57" i="4" l="1"/>
  <c r="F30" i="4"/>
  <c r="J6" i="4"/>
  <c r="J30" i="4" s="1"/>
  <c r="J29" i="6"/>
  <c r="F29" i="6"/>
  <c r="J30" i="5"/>
  <c r="F30" i="5"/>
</calcChain>
</file>

<file path=xl/sharedStrings.xml><?xml version="1.0" encoding="utf-8"?>
<sst xmlns="http://schemas.openxmlformats.org/spreadsheetml/2006/main" count="464" uniqueCount="163">
  <si>
    <t>MARTFŰI VÁROSFEJLESZTÉSI NONPROFIT KFT.</t>
  </si>
  <si>
    <t>Ingatlan ágazat</t>
  </si>
  <si>
    <t>Hulladék ágazat</t>
  </si>
  <si>
    <t>Városüzemeltetés</t>
  </si>
  <si>
    <t>Bruttó bér/hó         2018</t>
  </si>
  <si>
    <t>Bruttó bért terhelő SZOCHO havi</t>
  </si>
  <si>
    <t>Term.jutt.terh.adók/hó</t>
  </si>
  <si>
    <t>Költség/hó</t>
  </si>
  <si>
    <t>Béren kívüli juttatás</t>
  </si>
  <si>
    <t>2018. április havi bérlapok alapján</t>
  </si>
  <si>
    <t>betöltetlen</t>
  </si>
  <si>
    <t>ügyvezető</t>
  </si>
  <si>
    <t>ügyintézö</t>
  </si>
  <si>
    <t>ügyintéző</t>
  </si>
  <si>
    <t>ágazatvezető</t>
  </si>
  <si>
    <t>takarító</t>
  </si>
  <si>
    <t>segédmunkás</t>
  </si>
  <si>
    <t>villanyszerelő</t>
  </si>
  <si>
    <t>gondnok</t>
  </si>
  <si>
    <t>festő</t>
  </si>
  <si>
    <t>kőműves</t>
  </si>
  <si>
    <t>gépkocsivezető</t>
  </si>
  <si>
    <t>gépkezelő</t>
  </si>
  <si>
    <t>asztalos</t>
  </si>
  <si>
    <t>lakatos,gépkocsivezető</t>
  </si>
  <si>
    <t>lakatos , fűtő</t>
  </si>
  <si>
    <t>gépkocsi használati díj</t>
  </si>
  <si>
    <t>Beosztás</t>
  </si>
  <si>
    <t>létszám</t>
  </si>
  <si>
    <t>ügyeleti díj tervezet szerint</t>
  </si>
  <si>
    <t>ügyeleti  díjat terhelő SZOCHO havi</t>
  </si>
  <si>
    <t>összesen/hó</t>
  </si>
  <si>
    <t>TESZ feladatok</t>
  </si>
  <si>
    <t>ügyintéző+hulladék pont</t>
  </si>
  <si>
    <t>Ingatlan kezelés</t>
  </si>
  <si>
    <t>Kft feladat 2018. évi intézménybe integrálás éves várható kiadása</t>
  </si>
  <si>
    <t>2018 Költsévetési terv  Városüzemeltetés</t>
  </si>
  <si>
    <t>2018 Terv</t>
  </si>
  <si>
    <t>ZÖLDTERÜLET</t>
  </si>
  <si>
    <t>vegyszerbeszerzés kiadásai</t>
  </si>
  <si>
    <t>hajtó- és kenőanyag</t>
  </si>
  <si>
    <t>munkaruha</t>
  </si>
  <si>
    <t>karbantartási anyag (szerszámok)</t>
  </si>
  <si>
    <t>egyéb készlet beszerzés (gépjárművek karbantartása)</t>
  </si>
  <si>
    <t>egyéb gép karbantartás</t>
  </si>
  <si>
    <t>vásárolt élelmezés (védőital)</t>
  </si>
  <si>
    <t>egyéb bérleti és lízing díjak</t>
  </si>
  <si>
    <t>biztosítási szolgáltatási díjak</t>
  </si>
  <si>
    <t>egyéb üzemeltetési, fenntartási szolg.</t>
  </si>
  <si>
    <t>Felújítások</t>
  </si>
  <si>
    <t>gépek, járművek felújítása</t>
  </si>
  <si>
    <t>ZÖLDTERÜLET ÖSSZESEN:</t>
  </si>
  <si>
    <t>hajtó- és kenőanyagok</t>
  </si>
  <si>
    <t>egyéb üzemeltetési kiadások (védőital, csomagolóanyagok)</t>
  </si>
  <si>
    <t>karbantartási anyagok (síkosságmentesítés, tisztítószerek, csomagolóanyagok)</t>
  </si>
  <si>
    <t>Sikosságmentesítéshez vásárolt, még fel nem használat anyag</t>
  </si>
  <si>
    <t>egyéb készlet, szerszámok</t>
  </si>
  <si>
    <t>Járművek, gépek karbantartása ag.</t>
  </si>
  <si>
    <t>épületeken végzett karbantart anyagok</t>
  </si>
  <si>
    <t>egyéb eszközökön végzett karbantartási szolg., autópálya</t>
  </si>
  <si>
    <t>Járművek javítása</t>
  </si>
  <si>
    <t>Beruházás</t>
  </si>
  <si>
    <t>KÖZTERÜLET ÖSSZESEN:</t>
  </si>
  <si>
    <t>AC RAKTÁR</t>
  </si>
  <si>
    <t>villamosenergia díja</t>
  </si>
  <si>
    <t>gázenergia díja</t>
  </si>
  <si>
    <t>víz- és csatorna díja</t>
  </si>
  <si>
    <t>épületen végzett karbantartás anyagköltség</t>
  </si>
  <si>
    <t>egyéb karbantartási anyagok, munkaruha, védőfelszerelés</t>
  </si>
  <si>
    <t>szerszámok</t>
  </si>
  <si>
    <t>szemétszállítás</t>
  </si>
  <si>
    <t>AC raktár bérleti díja</t>
  </si>
  <si>
    <t>épületen más vállalkozó által végzett szolgáltatás</t>
  </si>
  <si>
    <t>munka-, tűzvédelem</t>
  </si>
  <si>
    <t>AC raktár felújítása</t>
  </si>
  <si>
    <t>AC RAKTÁR ÖSSZESEN:</t>
  </si>
  <si>
    <t>SPORTPÁLYA</t>
  </si>
  <si>
    <t>üzemanyag</t>
  </si>
  <si>
    <t>SPORTPÁLYA ÖSSZESEN:</t>
  </si>
  <si>
    <t>VÁROSÜZEMELTETÉSI FELADATOK</t>
  </si>
  <si>
    <t>üzletágat megillető fel nem osztható ktg.-ek (nyomtatvány, telefon, ügyvéd, bank, foglalk. eü.,</t>
  </si>
  <si>
    <t>üzemanyagok</t>
  </si>
  <si>
    <t>karbantartási anyagok</t>
  </si>
  <si>
    <t>ingatlanok, gépek karbantartása</t>
  </si>
  <si>
    <t>gépek karbantartása</t>
  </si>
  <si>
    <t>VÁROSÜZEMLETÉSI FELADATOK ÖSSZESEN</t>
  </si>
  <si>
    <t>összesen</t>
  </si>
  <si>
    <t>TESZ általános feladatok</t>
  </si>
  <si>
    <t xml:space="preserve"> gépek karbantartása</t>
  </si>
  <si>
    <t>2018 költségvetési terv Ingatlan</t>
  </si>
  <si>
    <t>KÖLTSÉGHELYEK várható kiadások</t>
  </si>
  <si>
    <t>2018.év tervezett</t>
  </si>
  <si>
    <t>Rendszeres személyi jellegű ráfordítások</t>
  </si>
  <si>
    <t>Bérköltség</t>
  </si>
  <si>
    <t>Bérjárulékok</t>
  </si>
  <si>
    <t>Személyi jellegű egyéb ráfordítások</t>
  </si>
  <si>
    <t>Étkezési utalvány és járulék</t>
  </si>
  <si>
    <t>Betegszab., alkalmi foglalkoztatás, Táppénz-hozzájárulás</t>
  </si>
  <si>
    <t>Kiküldetési rendelvény</t>
  </si>
  <si>
    <t>Személyi jellegűr ráfordítások összesen</t>
  </si>
  <si>
    <t>Anyagköltség, továbbszámlázott szolgáltatások</t>
  </si>
  <si>
    <t>Munkaruha, védőfelszerelés</t>
  </si>
  <si>
    <t>Védőital</t>
  </si>
  <si>
    <t>Épületeken végzett karb. Anyagköltsége</t>
  </si>
  <si>
    <t>Tisztítószerek</t>
  </si>
  <si>
    <t>Gépeken, egyéb eszközökön végzett karb. Anyagköltsége</t>
  </si>
  <si>
    <t>Irodaszerek, nyomtatványok</t>
  </si>
  <si>
    <t>Azonnal elhasználódó szerszámok</t>
  </si>
  <si>
    <t>Gázenergia</t>
  </si>
  <si>
    <t>Villamosenergia</t>
  </si>
  <si>
    <t>Víz- és Csatorna</t>
  </si>
  <si>
    <t>Anyagköltség összesen</t>
  </si>
  <si>
    <t>Igénybevett szolgáltatások</t>
  </si>
  <si>
    <t>Parkolási díjak, bérleti díjak</t>
  </si>
  <si>
    <t>Épületeken végzett karbantartás</t>
  </si>
  <si>
    <t>Könyvelés</t>
  </si>
  <si>
    <t>Postaköltség</t>
  </si>
  <si>
    <t>Hulladékszállítás</t>
  </si>
  <si>
    <t>Közös költségek (bérlakások)</t>
  </si>
  <si>
    <t>Thermálfűtés rásegítés</t>
  </si>
  <si>
    <t>Jogi tanácsadás/ képviselet</t>
  </si>
  <si>
    <t>Telefonköltség</t>
  </si>
  <si>
    <t>Internet / kábel Tv.</t>
  </si>
  <si>
    <t>Gépek, berendezések karbantartása</t>
  </si>
  <si>
    <t>Munkavédelem, tűzvédelem</t>
  </si>
  <si>
    <t>Foglalkozás egészségügyi</t>
  </si>
  <si>
    <t>Rovar és rágcsáló irtás</t>
  </si>
  <si>
    <t>Adóalapot nem növelő bírságok</t>
  </si>
  <si>
    <t>Igénybevett szolgáltatások összesen</t>
  </si>
  <si>
    <t>Egyéb szolgáltatások</t>
  </si>
  <si>
    <t>Hatósági díjak</t>
  </si>
  <si>
    <t>Bankköltség</t>
  </si>
  <si>
    <t>Biztosítási díjak</t>
  </si>
  <si>
    <t>Behajtási költségek</t>
  </si>
  <si>
    <t>Egyéb szolgáltatások összesen</t>
  </si>
  <si>
    <t>Költségek összesen</t>
  </si>
  <si>
    <t>Beruházások, felújítások kiadások</t>
  </si>
  <si>
    <t>Felújítások, (Ingatlanok nyilvántartási értéke 2%-ában tervezve)</t>
  </si>
  <si>
    <t>Egyéb tételek:</t>
  </si>
  <si>
    <t>Pénzforgalmi kiadást bef tételek összesen:</t>
  </si>
  <si>
    <r>
      <t xml:space="preserve">Tartalék </t>
    </r>
    <r>
      <rPr>
        <sz val="11"/>
        <color rgb="FF000000"/>
        <rFont val="Calibri"/>
        <family val="2"/>
        <charset val="238"/>
      </rPr>
      <t>képzés a 2018 évet köv. időszak kiadásaira</t>
    </r>
  </si>
  <si>
    <t>Kiadási egyenleg</t>
  </si>
  <si>
    <t>KÖLTSÉGHELYEK várható bevételek</t>
  </si>
  <si>
    <t>2018.évi tervezett</t>
  </si>
  <si>
    <t>Lakbér</t>
  </si>
  <si>
    <t>bérleti díj (nem lakás célú)</t>
  </si>
  <si>
    <t>továbbszámlázott gáz /fűtés/áram/víz/felújítás</t>
  </si>
  <si>
    <t>továbbszámlázott telefon</t>
  </si>
  <si>
    <t>Számlázás  mindösszesen</t>
  </si>
  <si>
    <t>kintlévőség kezelés bevételei ( Új ablak)</t>
  </si>
  <si>
    <t>Egyéb bevételek (vagyonkezelésbe átvett vagyon bevétele)</t>
  </si>
  <si>
    <t>Összes bevétel</t>
  </si>
  <si>
    <t>2018 Költsévetési terv  TESZ feladatok</t>
  </si>
  <si>
    <t>2018 költségvetési terv Ingatlan kezelés</t>
  </si>
  <si>
    <t>Éves költség  bér járulék költség</t>
  </si>
  <si>
    <t xml:space="preserve">Önálló intézmény feladat ellátás </t>
  </si>
  <si>
    <t>Intézménybe integrálás formában feladat ellátás</t>
  </si>
  <si>
    <t>Szervezeti forma</t>
  </si>
  <si>
    <t>Bér járulék költség</t>
  </si>
  <si>
    <t>Tesz feladatok ellátása</t>
  </si>
  <si>
    <t>Összesen</t>
  </si>
  <si>
    <r>
      <t>Költség összehasonlító tábla</t>
    </r>
    <r>
      <rPr>
        <sz val="14"/>
        <rFont val="Arial"/>
        <family val="2"/>
        <charset val="238"/>
      </rPr>
      <t xml:space="preserve"> (éves költségek összevetése)</t>
    </r>
  </si>
  <si>
    <t>Megjegyezés: az ingatlan ágazat bér költségeket tartalmaz , de ez a halmozódás az összehasonlítást nem befolyásolja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</si>
</sst>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;[Red]\-#,##0&quot; Ft&quot;"/>
    <numFmt numFmtId="165" formatCode="#"/>
    <numFmt numFmtId="166" formatCode="#,##0\ &quot;Ft&quot;"/>
    <numFmt numFmtId="167" formatCode="#,##0\ [$Ft-40E];[Red]\-#,##0\ [$Ft-40E]"/>
    <numFmt numFmtId="168" formatCode="_-* #,##0\ _F_t_-;\-* #,##0\ _F_t_-;_-* &quot;-&quot;??\ _F_t_-;_-@_-"/>
  </numFmts>
  <fonts count="18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rgb="FFBDDD8D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CCFFCC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1"/>
    <xf numFmtId="0" fontId="2" fillId="0" borderId="0" xfId="1" applyFont="1" applyAlignment="1"/>
    <xf numFmtId="0" fontId="1" fillId="0" borderId="1" xfId="1" applyBorder="1" applyAlignment="1">
      <alignment horizontal="center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horizontal="center"/>
    </xf>
    <xf numFmtId="164" fontId="1" fillId="0" borderId="4" xfId="1" applyNumberFormat="1" applyBorder="1"/>
    <xf numFmtId="164" fontId="3" fillId="0" borderId="4" xfId="1" applyNumberFormat="1" applyFont="1" applyBorder="1"/>
    <xf numFmtId="0" fontId="1" fillId="0" borderId="5" xfId="1" applyBorder="1" applyAlignment="1">
      <alignment horizontal="center"/>
    </xf>
    <xf numFmtId="0" fontId="1" fillId="2" borderId="5" xfId="1" applyFont="1" applyFill="1" applyBorder="1"/>
    <xf numFmtId="0" fontId="1" fillId="0" borderId="5" xfId="1" applyBorder="1"/>
    <xf numFmtId="0" fontId="3" fillId="0" borderId="5" xfId="1" applyFont="1" applyBorder="1"/>
    <xf numFmtId="164" fontId="1" fillId="0" borderId="5" xfId="1" applyNumberFormat="1" applyBorder="1"/>
    <xf numFmtId="164" fontId="3" fillId="0" borderId="5" xfId="1" applyNumberFormat="1" applyFont="1" applyBorder="1"/>
    <xf numFmtId="164" fontId="3" fillId="0" borderId="0" xfId="1" applyNumberFormat="1" applyFont="1"/>
    <xf numFmtId="10" fontId="1" fillId="0" borderId="3" xfId="1" applyNumberFormat="1" applyBorder="1" applyAlignment="1">
      <alignment horizontal="center" wrapText="1"/>
    </xf>
    <xf numFmtId="10" fontId="1" fillId="0" borderId="2" xfId="1" applyNumberFormat="1" applyBorder="1"/>
    <xf numFmtId="0" fontId="1" fillId="3" borderId="5" xfId="1" applyFill="1" applyBorder="1"/>
    <xf numFmtId="9" fontId="1" fillId="3" borderId="5" xfId="1" applyNumberFormat="1" applyFill="1" applyBorder="1"/>
    <xf numFmtId="9" fontId="1" fillId="3" borderId="4" xfId="1" applyNumberFormat="1" applyFont="1" applyFill="1" applyBorder="1"/>
    <xf numFmtId="165" fontId="3" fillId="0" borderId="6" xfId="1" applyNumberFormat="1" applyFont="1" applyBorder="1" applyAlignment="1">
      <alignment wrapText="1"/>
    </xf>
    <xf numFmtId="166" fontId="1" fillId="0" borderId="4" xfId="1" applyNumberFormat="1" applyBorder="1"/>
    <xf numFmtId="166" fontId="1" fillId="0" borderId="5" xfId="1" applyNumberFormat="1" applyBorder="1"/>
    <xf numFmtId="0" fontId="3" fillId="0" borderId="7" xfId="1" applyFont="1" applyBorder="1" applyAlignment="1">
      <alignment horizontal="center" vertical="center" wrapText="1"/>
    </xf>
    <xf numFmtId="10" fontId="1" fillId="0" borderId="7" xfId="1" applyNumberFormat="1" applyBorder="1" applyAlignment="1">
      <alignment horizontal="center" wrapText="1"/>
    </xf>
    <xf numFmtId="164" fontId="3" fillId="0" borderId="8" xfId="1" applyNumberFormat="1" applyFont="1" applyBorder="1"/>
    <xf numFmtId="0" fontId="4" fillId="0" borderId="5" xfId="1" applyFont="1" applyBorder="1"/>
    <xf numFmtId="0" fontId="4" fillId="0" borderId="0" xfId="1" applyFont="1" applyFill="1" applyBorder="1"/>
    <xf numFmtId="44" fontId="6" fillId="0" borderId="0" xfId="3" applyFont="1"/>
    <xf numFmtId="43" fontId="7" fillId="0" borderId="5" xfId="2" applyFont="1" applyBorder="1"/>
    <xf numFmtId="43" fontId="8" fillId="0" borderId="5" xfId="2" applyFont="1" applyBorder="1" applyAlignment="1">
      <alignment horizontal="center" vertical="center"/>
    </xf>
    <xf numFmtId="43" fontId="3" fillId="0" borderId="5" xfId="2" applyFont="1" applyBorder="1"/>
    <xf numFmtId="43" fontId="9" fillId="0" borderId="5" xfId="2" applyFont="1" applyBorder="1"/>
    <xf numFmtId="43" fontId="1" fillId="0" borderId="5" xfId="2" applyFont="1" applyBorder="1"/>
    <xf numFmtId="168" fontId="9" fillId="4" borderId="5" xfId="2" applyNumberFormat="1" applyFont="1" applyFill="1" applyBorder="1"/>
    <xf numFmtId="168" fontId="9" fillId="0" borderId="5" xfId="2" applyNumberFormat="1" applyFont="1" applyBorder="1"/>
    <xf numFmtId="43" fontId="1" fillId="0" borderId="5" xfId="2" applyFont="1" applyBorder="1" applyAlignment="1">
      <alignment wrapText="1"/>
    </xf>
    <xf numFmtId="167" fontId="8" fillId="2" borderId="5" xfId="2" applyNumberFormat="1" applyFont="1" applyFill="1" applyBorder="1"/>
    <xf numFmtId="168" fontId="9" fillId="0" borderId="5" xfId="2" applyNumberFormat="1" applyFont="1" applyBorder="1" applyAlignment="1">
      <alignment vertical="center"/>
    </xf>
    <xf numFmtId="168" fontId="9" fillId="4" borderId="5" xfId="2" applyNumberFormat="1" applyFont="1" applyFill="1" applyBorder="1" applyAlignment="1">
      <alignment vertical="center"/>
    </xf>
    <xf numFmtId="43" fontId="10" fillId="0" borderId="5" xfId="2" applyFont="1" applyBorder="1" applyAlignment="1">
      <alignment wrapText="1"/>
    </xf>
    <xf numFmtId="168" fontId="11" fillId="0" borderId="5" xfId="2" applyNumberFormat="1" applyFont="1" applyBorder="1"/>
    <xf numFmtId="164" fontId="9" fillId="0" borderId="5" xfId="2" applyNumberFormat="1" applyFont="1" applyBorder="1"/>
    <xf numFmtId="167" fontId="3" fillId="2" borderId="5" xfId="2" applyNumberFormat="1" applyFont="1" applyFill="1" applyBorder="1"/>
    <xf numFmtId="166" fontId="12" fillId="0" borderId="5" xfId="2" applyNumberFormat="1" applyFont="1" applyBorder="1"/>
    <xf numFmtId="167" fontId="1" fillId="0" borderId="0" xfId="1" applyNumberFormat="1"/>
    <xf numFmtId="0" fontId="2" fillId="0" borderId="0" xfId="1" applyFont="1"/>
    <xf numFmtId="167" fontId="2" fillId="0" borderId="0" xfId="1" applyNumberFormat="1" applyFont="1"/>
    <xf numFmtId="0" fontId="1" fillId="5" borderId="5" xfId="1" applyFont="1" applyFill="1" applyBorder="1"/>
    <xf numFmtId="167" fontId="8" fillId="5" borderId="5" xfId="2" applyNumberFormat="1" applyFont="1" applyFill="1" applyBorder="1"/>
    <xf numFmtId="168" fontId="9" fillId="3" borderId="5" xfId="2" applyNumberFormat="1" applyFont="1" applyFill="1" applyBorder="1"/>
    <xf numFmtId="43" fontId="9" fillId="3" borderId="5" xfId="2" applyFont="1" applyFill="1" applyBorder="1"/>
    <xf numFmtId="168" fontId="9" fillId="3" borderId="5" xfId="2" applyNumberFormat="1" applyFont="1" applyFill="1" applyBorder="1" applyAlignment="1">
      <alignment vertical="center"/>
    </xf>
    <xf numFmtId="168" fontId="11" fillId="3" borderId="5" xfId="2" applyNumberFormat="1" applyFont="1" applyFill="1" applyBorder="1"/>
    <xf numFmtId="164" fontId="9" fillId="3" borderId="5" xfId="2" applyNumberFormat="1" applyFont="1" applyFill="1" applyBorder="1"/>
    <xf numFmtId="167" fontId="3" fillId="5" borderId="5" xfId="2" applyNumberFormat="1" applyFont="1" applyFill="1" applyBorder="1"/>
    <xf numFmtId="167" fontId="2" fillId="3" borderId="0" xfId="1" applyNumberFormat="1" applyFont="1" applyFill="1"/>
    <xf numFmtId="0" fontId="0" fillId="3" borderId="0" xfId="0" applyFill="1"/>
    <xf numFmtId="0" fontId="1" fillId="0" borderId="0" xfId="1" applyFont="1"/>
    <xf numFmtId="0" fontId="3" fillId="0" borderId="6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1" fillId="0" borderId="4" xfId="1" applyFont="1" applyBorder="1"/>
    <xf numFmtId="0" fontId="1" fillId="0" borderId="5" xfId="1" applyFont="1" applyBorder="1"/>
    <xf numFmtId="164" fontId="1" fillId="0" borderId="5" xfId="1" applyNumberFormat="1" applyFont="1" applyBorder="1"/>
    <xf numFmtId="167" fontId="1" fillId="0" borderId="5" xfId="1" applyNumberFormat="1" applyFont="1" applyBorder="1"/>
    <xf numFmtId="164" fontId="1" fillId="2" borderId="5" xfId="1" applyNumberFormat="1" applyFont="1" applyFill="1" applyBorder="1"/>
    <xf numFmtId="164" fontId="1" fillId="6" borderId="5" xfId="1" applyNumberFormat="1" applyFont="1" applyFill="1" applyBorder="1"/>
    <xf numFmtId="164" fontId="1" fillId="0" borderId="5" xfId="1" applyNumberFormat="1" applyFont="1" applyFill="1" applyBorder="1"/>
    <xf numFmtId="0" fontId="1" fillId="0" borderId="0" xfId="1" applyFont="1" applyBorder="1"/>
    <xf numFmtId="164" fontId="1" fillId="0" borderId="0" xfId="1" applyNumberFormat="1" applyFont="1" applyFill="1" applyBorder="1"/>
    <xf numFmtId="164" fontId="3" fillId="7" borderId="5" xfId="1" applyNumberFormat="1" applyFont="1" applyFill="1" applyBorder="1"/>
    <xf numFmtId="0" fontId="3" fillId="0" borderId="0" xfId="1" applyFont="1" applyBorder="1"/>
    <xf numFmtId="164" fontId="3" fillId="7" borderId="0" xfId="1" applyNumberFormat="1" applyFont="1" applyFill="1" applyBorder="1"/>
    <xf numFmtId="0" fontId="3" fillId="0" borderId="10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164" fontId="1" fillId="8" borderId="5" xfId="1" applyNumberFormat="1" applyFont="1" applyFill="1" applyBorder="1"/>
    <xf numFmtId="166" fontId="1" fillId="0" borderId="5" xfId="1" applyNumberFormat="1" applyFont="1" applyBorder="1"/>
    <xf numFmtId="164" fontId="3" fillId="9" borderId="5" xfId="1" applyNumberFormat="1" applyFont="1" applyFill="1" applyBorder="1"/>
    <xf numFmtId="43" fontId="7" fillId="0" borderId="9" xfId="2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6" fillId="0" borderId="0" xfId="0" applyFont="1"/>
    <xf numFmtId="164" fontId="4" fillId="0" borderId="0" xfId="1" applyNumberFormat="1" applyFont="1" applyFill="1" applyBorder="1"/>
    <xf numFmtId="0" fontId="0" fillId="0" borderId="0" xfId="0" applyAlignment="1">
      <alignment horizontal="center"/>
    </xf>
    <xf numFmtId="0" fontId="17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5" xfId="1" applyFont="1" applyBorder="1" applyAlignment="1"/>
    <xf numFmtId="3" fontId="14" fillId="0" borderId="5" xfId="1" applyNumberFormat="1" applyFont="1" applyBorder="1" applyAlignment="1"/>
    <xf numFmtId="167" fontId="14" fillId="0" borderId="5" xfId="1" applyNumberFormat="1" applyFont="1" applyBorder="1"/>
    <xf numFmtId="3" fontId="14" fillId="0" borderId="5" xfId="1" applyNumberFormat="1" applyFont="1" applyBorder="1"/>
    <xf numFmtId="3" fontId="13" fillId="0" borderId="5" xfId="0" applyNumberFormat="1" applyFont="1" applyBorder="1"/>
    <xf numFmtId="0" fontId="13" fillId="0" borderId="5" xfId="0" applyFont="1" applyBorder="1"/>
  </cellXfs>
  <cellStyles count="4">
    <cellStyle name="Ezres" xfId="2" builtinId="3"/>
    <cellStyle name="Normál" xfId="0" builtinId="0"/>
    <cellStyle name="Pénznem" xfId="3" builtinId="4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70"/>
  <sheetViews>
    <sheetView tabSelected="1" topLeftCell="F1" zoomScaleNormal="100" zoomScalePageLayoutView="60" workbookViewId="0">
      <selection activeCell="N57" sqref="N57"/>
    </sheetView>
  </sheetViews>
  <sheetFormatPr defaultRowHeight="15" x14ac:dyDescent="0.25"/>
  <cols>
    <col min="1" max="1" width="19.28515625" style="1" customWidth="1"/>
    <col min="2" max="2" width="17.42578125" style="1" customWidth="1"/>
    <col min="3" max="3" width="13.7109375" style="1" customWidth="1"/>
    <col min="4" max="4" width="16.85546875" style="1" customWidth="1"/>
    <col min="5" max="5" width="13.5703125" style="1" customWidth="1"/>
    <col min="6" max="6" width="12.5703125" style="1" customWidth="1"/>
    <col min="7" max="8" width="9.5703125" style="1"/>
    <col min="9" max="9" width="14.85546875" style="1" customWidth="1"/>
    <col min="10" max="10" width="14.42578125" style="1" customWidth="1"/>
    <col min="11" max="12" width="9.5703125" style="1"/>
    <col min="13" max="13" width="29.28515625" style="1" customWidth="1"/>
    <col min="14" max="14" width="31.140625" style="1" customWidth="1"/>
    <col min="15" max="15" width="9.5703125" style="1"/>
    <col min="16" max="16" width="38" style="1" customWidth="1"/>
    <col min="17" max="17" width="27" style="1" customWidth="1"/>
    <col min="18" max="239" width="9.5703125" style="1"/>
  </cols>
  <sheetData>
    <row r="1" spans="1:17" ht="21" x14ac:dyDescent="0.3">
      <c r="A1" s="2" t="s">
        <v>0</v>
      </c>
      <c r="B1" s="2"/>
      <c r="M1" s="80" t="s">
        <v>36</v>
      </c>
      <c r="N1" s="80"/>
      <c r="P1" s="81" t="s">
        <v>89</v>
      </c>
      <c r="Q1" s="81"/>
    </row>
    <row r="2" spans="1:17" ht="21.75" thickBot="1" x14ac:dyDescent="0.4">
      <c r="A2" s="2" t="s">
        <v>9</v>
      </c>
      <c r="B2" s="2"/>
      <c r="M2" s="31"/>
      <c r="N2" s="32" t="s">
        <v>37</v>
      </c>
      <c r="P2" s="60"/>
      <c r="Q2" s="60"/>
    </row>
    <row r="3" spans="1:17" ht="15.75" thickBot="1" x14ac:dyDescent="0.3">
      <c r="M3" s="33" t="s">
        <v>38</v>
      </c>
      <c r="N3" s="34"/>
      <c r="P3" s="61" t="s">
        <v>90</v>
      </c>
      <c r="Q3" s="62" t="s">
        <v>91</v>
      </c>
    </row>
    <row r="4" spans="1:17" ht="60.75" thickBot="1" x14ac:dyDescent="0.3">
      <c r="A4" s="4" t="s">
        <v>28</v>
      </c>
      <c r="B4" s="4" t="s">
        <v>27</v>
      </c>
      <c r="C4" s="6" t="s">
        <v>4</v>
      </c>
      <c r="D4" s="6" t="s">
        <v>5</v>
      </c>
      <c r="E4" s="6" t="s">
        <v>8</v>
      </c>
      <c r="F4" s="22" t="s">
        <v>6</v>
      </c>
      <c r="G4" s="6" t="s">
        <v>26</v>
      </c>
      <c r="H4" s="22" t="s">
        <v>29</v>
      </c>
      <c r="I4" s="25" t="s">
        <v>30</v>
      </c>
      <c r="J4" s="28" t="s">
        <v>31</v>
      </c>
      <c r="M4" s="35" t="s">
        <v>39</v>
      </c>
      <c r="N4" s="36">
        <v>645914</v>
      </c>
      <c r="P4" s="63" t="s">
        <v>92</v>
      </c>
      <c r="Q4" s="63"/>
    </row>
    <row r="5" spans="1:17" ht="15.75" thickBot="1" x14ac:dyDescent="0.3">
      <c r="A5" s="3"/>
      <c r="B5" s="4"/>
      <c r="C5" s="6"/>
      <c r="D5" s="17">
        <v>0.19500000000000001</v>
      </c>
      <c r="E5" s="5"/>
      <c r="F5" s="18">
        <f>1.18*(0.14+0.15)</f>
        <v>0.3422</v>
      </c>
      <c r="G5" s="5"/>
      <c r="H5" s="18"/>
      <c r="I5" s="26">
        <v>0.19500000000000001</v>
      </c>
      <c r="J5" s="12"/>
      <c r="M5" s="35" t="s">
        <v>40</v>
      </c>
      <c r="N5" s="37">
        <f>7155+726993+113385+340751</f>
        <v>1188284</v>
      </c>
      <c r="P5" s="64" t="s">
        <v>93</v>
      </c>
      <c r="Q5" s="65">
        <v>7512260</v>
      </c>
    </row>
    <row r="6" spans="1:17" x14ac:dyDescent="0.25">
      <c r="A6" s="7">
        <v>1</v>
      </c>
      <c r="B6" s="21" t="s">
        <v>11</v>
      </c>
      <c r="C6" s="9">
        <v>412800</v>
      </c>
      <c r="D6" s="9">
        <f>C6*$D$5</f>
        <v>80496</v>
      </c>
      <c r="E6" s="8">
        <v>8000</v>
      </c>
      <c r="F6" s="23">
        <f t="shared" ref="F6:F29" si="0">$F$5*E6</f>
        <v>2737.6</v>
      </c>
      <c r="G6" s="8">
        <v>86153</v>
      </c>
      <c r="H6" s="23"/>
      <c r="I6" s="27"/>
      <c r="J6" s="14">
        <f t="shared" ref="J6:J28" si="1">SUM(C6:I6)</f>
        <v>590186.6</v>
      </c>
      <c r="M6" s="35" t="s">
        <v>41</v>
      </c>
      <c r="N6" s="37">
        <v>21398</v>
      </c>
      <c r="P6" s="64" t="s">
        <v>94</v>
      </c>
      <c r="Q6" s="65">
        <v>1464891</v>
      </c>
    </row>
    <row r="7" spans="1:17" ht="30" x14ac:dyDescent="0.25">
      <c r="A7" s="10"/>
      <c r="B7" s="11" t="s">
        <v>1</v>
      </c>
      <c r="C7" s="13"/>
      <c r="D7" s="9"/>
      <c r="E7" s="12"/>
      <c r="F7" s="24"/>
      <c r="G7" s="12"/>
      <c r="H7" s="24"/>
      <c r="I7" s="27"/>
      <c r="J7" s="14">
        <f t="shared" si="1"/>
        <v>0</v>
      </c>
      <c r="M7" s="38" t="s">
        <v>42</v>
      </c>
      <c r="N7" s="37">
        <f>5000+183308+35269+35794</f>
        <v>259371</v>
      </c>
      <c r="P7" s="64" t="s">
        <v>95</v>
      </c>
      <c r="Q7" s="64">
        <v>0</v>
      </c>
    </row>
    <row r="8" spans="1:17" x14ac:dyDescent="0.25">
      <c r="A8" s="10">
        <v>2</v>
      </c>
      <c r="B8" s="19" t="s">
        <v>12</v>
      </c>
      <c r="C8" s="15">
        <v>180500</v>
      </c>
      <c r="D8" s="9">
        <f t="shared" ref="D8:D29" si="2">C8*$D$5</f>
        <v>35197.5</v>
      </c>
      <c r="E8" s="14">
        <v>8000</v>
      </c>
      <c r="F8" s="24">
        <f>$F$5*E8</f>
        <v>2737.6</v>
      </c>
      <c r="G8" s="14"/>
      <c r="H8" s="24"/>
      <c r="I8" s="27"/>
      <c r="J8" s="14">
        <f>SUM(C8:I8)</f>
        <v>226435.1</v>
      </c>
      <c r="M8" s="35" t="s">
        <v>43</v>
      </c>
      <c r="N8" s="37">
        <f>52121</f>
        <v>52121</v>
      </c>
      <c r="P8" s="64" t="s">
        <v>96</v>
      </c>
      <c r="Q8" s="66">
        <f>325600+65698+57622</f>
        <v>448920</v>
      </c>
    </row>
    <row r="9" spans="1:17" x14ac:dyDescent="0.25">
      <c r="A9" s="10"/>
      <c r="B9" s="11" t="s">
        <v>2</v>
      </c>
      <c r="C9" s="13"/>
      <c r="D9" s="9"/>
      <c r="E9" s="12"/>
      <c r="F9" s="24"/>
      <c r="G9" s="12"/>
      <c r="H9" s="24"/>
      <c r="I9" s="27"/>
      <c r="J9" s="14">
        <f t="shared" si="1"/>
        <v>0</v>
      </c>
      <c r="M9" s="35" t="s">
        <v>44</v>
      </c>
      <c r="N9" s="37">
        <v>331620</v>
      </c>
      <c r="P9" s="64" t="s">
        <v>97</v>
      </c>
      <c r="Q9" s="66">
        <v>23456</v>
      </c>
    </row>
    <row r="10" spans="1:17" x14ac:dyDescent="0.25">
      <c r="A10" s="10">
        <v>3</v>
      </c>
      <c r="B10" s="20" t="s">
        <v>13</v>
      </c>
      <c r="C10" s="15">
        <v>180500</v>
      </c>
      <c r="D10" s="9">
        <f t="shared" si="2"/>
        <v>35197.5</v>
      </c>
      <c r="E10" s="14">
        <v>8000</v>
      </c>
      <c r="F10" s="24">
        <f t="shared" si="0"/>
        <v>2737.6</v>
      </c>
      <c r="G10" s="14"/>
      <c r="H10" s="24"/>
      <c r="I10" s="27"/>
      <c r="J10" s="14">
        <f t="shared" si="1"/>
        <v>226435.1</v>
      </c>
      <c r="M10" s="35" t="s">
        <v>45</v>
      </c>
      <c r="N10" s="37">
        <v>116100</v>
      </c>
      <c r="P10" s="64" t="s">
        <v>98</v>
      </c>
      <c r="Q10" s="65">
        <v>530000</v>
      </c>
    </row>
    <row r="11" spans="1:17" x14ac:dyDescent="0.25">
      <c r="A11" s="10"/>
      <c r="B11" s="11" t="s">
        <v>3</v>
      </c>
      <c r="C11" s="13"/>
      <c r="D11" s="9"/>
      <c r="E11" s="12"/>
      <c r="F11" s="24"/>
      <c r="G11" s="12"/>
      <c r="H11" s="24"/>
      <c r="I11" s="27"/>
      <c r="J11" s="14">
        <f t="shared" si="1"/>
        <v>0</v>
      </c>
      <c r="M11" s="35" t="s">
        <v>46</v>
      </c>
      <c r="N11" s="37"/>
      <c r="P11" s="64" t="s">
        <v>99</v>
      </c>
      <c r="Q11" s="67">
        <f>SUM(Q5:Q10)</f>
        <v>9979527</v>
      </c>
    </row>
    <row r="12" spans="1:17" x14ac:dyDescent="0.25">
      <c r="A12" s="10">
        <v>4</v>
      </c>
      <c r="B12" s="19" t="s">
        <v>14</v>
      </c>
      <c r="C12" s="15">
        <v>300000</v>
      </c>
      <c r="D12" s="9">
        <f t="shared" si="2"/>
        <v>58500</v>
      </c>
      <c r="E12" s="14">
        <v>8000</v>
      </c>
      <c r="F12" s="24">
        <f t="shared" si="0"/>
        <v>2737.6</v>
      </c>
      <c r="G12" s="14">
        <v>46864</v>
      </c>
      <c r="H12" s="24"/>
      <c r="I12" s="27"/>
      <c r="J12" s="14">
        <f t="shared" si="1"/>
        <v>416101.6</v>
      </c>
      <c r="M12" s="35" t="s">
        <v>47</v>
      </c>
      <c r="N12" s="37">
        <v>0</v>
      </c>
      <c r="P12" s="60"/>
      <c r="Q12" s="60"/>
    </row>
    <row r="13" spans="1:17" x14ac:dyDescent="0.25">
      <c r="A13" s="10">
        <v>5</v>
      </c>
      <c r="B13" s="20" t="s">
        <v>15</v>
      </c>
      <c r="C13" s="15">
        <v>138000</v>
      </c>
      <c r="D13" s="9">
        <f t="shared" si="2"/>
        <v>26910</v>
      </c>
      <c r="E13" s="14">
        <v>8000</v>
      </c>
      <c r="F13" s="24">
        <f t="shared" si="0"/>
        <v>2737.6</v>
      </c>
      <c r="G13" s="14"/>
      <c r="H13" s="24"/>
      <c r="I13" s="27"/>
      <c r="J13" s="14">
        <f t="shared" si="1"/>
        <v>175647.6</v>
      </c>
      <c r="M13" s="35" t="s">
        <v>48</v>
      </c>
      <c r="N13" s="37">
        <f>19050+265580</f>
        <v>284630</v>
      </c>
      <c r="P13" s="64" t="s">
        <v>100</v>
      </c>
      <c r="Q13" s="64"/>
    </row>
    <row r="14" spans="1:17" x14ac:dyDescent="0.25">
      <c r="A14" s="10">
        <v>6</v>
      </c>
      <c r="B14" s="19" t="s">
        <v>19</v>
      </c>
      <c r="C14" s="15">
        <v>180500</v>
      </c>
      <c r="D14" s="9">
        <f t="shared" si="2"/>
        <v>35197.5</v>
      </c>
      <c r="E14" s="14">
        <v>8000</v>
      </c>
      <c r="F14" s="24">
        <f t="shared" si="0"/>
        <v>2737.6</v>
      </c>
      <c r="G14" s="14"/>
      <c r="H14" s="24">
        <v>5000</v>
      </c>
      <c r="I14" s="27">
        <f>H14*$I$5</f>
        <v>975</v>
      </c>
      <c r="J14" s="14">
        <f t="shared" si="1"/>
        <v>232410.1</v>
      </c>
      <c r="M14" s="35" t="s">
        <v>49</v>
      </c>
      <c r="N14" s="37">
        <v>0</v>
      </c>
      <c r="P14" s="64" t="s">
        <v>101</v>
      </c>
      <c r="Q14" s="65">
        <v>4196</v>
      </c>
    </row>
    <row r="15" spans="1:17" x14ac:dyDescent="0.25">
      <c r="A15" s="10">
        <v>7</v>
      </c>
      <c r="B15" s="19" t="s">
        <v>20</v>
      </c>
      <c r="C15" s="15">
        <v>180500</v>
      </c>
      <c r="D15" s="9">
        <f t="shared" si="2"/>
        <v>35197.5</v>
      </c>
      <c r="E15" s="14">
        <v>8000</v>
      </c>
      <c r="F15" s="24">
        <f t="shared" si="0"/>
        <v>2737.6</v>
      </c>
      <c r="G15" s="14"/>
      <c r="H15" s="24">
        <v>5000</v>
      </c>
      <c r="I15" s="27">
        <f t="shared" ref="I15:I27" si="3">H15*$I$5</f>
        <v>975</v>
      </c>
      <c r="J15" s="14">
        <f t="shared" si="1"/>
        <v>232410.1</v>
      </c>
      <c r="M15" s="35" t="s">
        <v>50</v>
      </c>
      <c r="N15" s="34">
        <v>0</v>
      </c>
      <c r="P15" s="64" t="s">
        <v>102</v>
      </c>
      <c r="Q15" s="65">
        <v>9778</v>
      </c>
    </row>
    <row r="16" spans="1:17" x14ac:dyDescent="0.25">
      <c r="A16" s="10">
        <v>8</v>
      </c>
      <c r="B16" s="19" t="s">
        <v>20</v>
      </c>
      <c r="C16" s="15">
        <v>180500</v>
      </c>
      <c r="D16" s="9">
        <f t="shared" si="2"/>
        <v>35197.5</v>
      </c>
      <c r="E16" s="14">
        <v>8000</v>
      </c>
      <c r="F16" s="24">
        <f t="shared" si="0"/>
        <v>2737.6</v>
      </c>
      <c r="G16" s="14"/>
      <c r="H16" s="24">
        <v>5000</v>
      </c>
      <c r="I16" s="27">
        <f t="shared" si="3"/>
        <v>975</v>
      </c>
      <c r="J16" s="14">
        <f t="shared" si="1"/>
        <v>232410.1</v>
      </c>
      <c r="M16" s="33" t="s">
        <v>51</v>
      </c>
      <c r="N16" s="39">
        <f>SUM(N4:N15)</f>
        <v>2899438</v>
      </c>
      <c r="P16" s="64" t="s">
        <v>103</v>
      </c>
      <c r="Q16" s="65">
        <v>2000000</v>
      </c>
    </row>
    <row r="17" spans="1:17" x14ac:dyDescent="0.25">
      <c r="A17" s="10">
        <v>9</v>
      </c>
      <c r="B17" s="19" t="s">
        <v>21</v>
      </c>
      <c r="C17" s="15">
        <v>180500</v>
      </c>
      <c r="D17" s="9">
        <f t="shared" si="2"/>
        <v>35197.5</v>
      </c>
      <c r="E17" s="14">
        <v>8000</v>
      </c>
      <c r="F17" s="24">
        <f t="shared" si="0"/>
        <v>2737.6</v>
      </c>
      <c r="G17" s="14"/>
      <c r="H17" s="24">
        <v>5000</v>
      </c>
      <c r="I17" s="27">
        <f t="shared" si="3"/>
        <v>975</v>
      </c>
      <c r="J17" s="14">
        <f t="shared" si="1"/>
        <v>232410.1</v>
      </c>
      <c r="M17" s="33"/>
      <c r="N17" s="34"/>
      <c r="P17" s="64" t="s">
        <v>104</v>
      </c>
      <c r="Q17" s="65">
        <v>107986</v>
      </c>
    </row>
    <row r="18" spans="1:17" x14ac:dyDescent="0.25">
      <c r="A18" s="10">
        <v>10</v>
      </c>
      <c r="B18" s="20" t="s">
        <v>22</v>
      </c>
      <c r="C18" s="15">
        <v>180500</v>
      </c>
      <c r="D18" s="9">
        <f t="shared" si="2"/>
        <v>35197.5</v>
      </c>
      <c r="E18" s="14">
        <v>8000</v>
      </c>
      <c r="F18" s="24">
        <f t="shared" si="0"/>
        <v>2737.6</v>
      </c>
      <c r="G18" s="14"/>
      <c r="H18" s="24">
        <v>5000</v>
      </c>
      <c r="I18" s="27">
        <f t="shared" si="3"/>
        <v>975</v>
      </c>
      <c r="J18" s="14">
        <f t="shared" si="1"/>
        <v>232410.1</v>
      </c>
      <c r="M18" s="35" t="s">
        <v>52</v>
      </c>
      <c r="N18" s="37">
        <f>2921996+886094+212984</f>
        <v>4021074</v>
      </c>
      <c r="P18" s="64" t="s">
        <v>105</v>
      </c>
      <c r="Q18" s="65">
        <v>188157</v>
      </c>
    </row>
    <row r="19" spans="1:17" x14ac:dyDescent="0.25">
      <c r="A19" s="10">
        <v>11</v>
      </c>
      <c r="B19" s="19" t="s">
        <v>23</v>
      </c>
      <c r="C19" s="15">
        <v>180500</v>
      </c>
      <c r="D19" s="9">
        <f t="shared" si="2"/>
        <v>35197.5</v>
      </c>
      <c r="E19" s="14">
        <v>8000</v>
      </c>
      <c r="F19" s="24">
        <f t="shared" si="0"/>
        <v>2737.6</v>
      </c>
      <c r="G19" s="14"/>
      <c r="H19" s="24">
        <v>5000</v>
      </c>
      <c r="I19" s="27">
        <f t="shared" si="3"/>
        <v>975</v>
      </c>
      <c r="J19" s="14">
        <f t="shared" si="1"/>
        <v>232410.1</v>
      </c>
      <c r="M19" s="35" t="s">
        <v>41</v>
      </c>
      <c r="N19" s="37">
        <v>623802</v>
      </c>
      <c r="P19" s="64" t="s">
        <v>106</v>
      </c>
      <c r="Q19" s="65">
        <v>99289</v>
      </c>
    </row>
    <row r="20" spans="1:17" x14ac:dyDescent="0.25">
      <c r="A20" s="10">
        <v>12</v>
      </c>
      <c r="B20" s="19" t="s">
        <v>23</v>
      </c>
      <c r="C20" s="15">
        <v>180500</v>
      </c>
      <c r="D20" s="9">
        <f t="shared" si="2"/>
        <v>35197.5</v>
      </c>
      <c r="E20" s="14">
        <v>8000</v>
      </c>
      <c r="F20" s="24">
        <f t="shared" si="0"/>
        <v>2737.6</v>
      </c>
      <c r="G20" s="14"/>
      <c r="H20" s="24">
        <v>5000</v>
      </c>
      <c r="I20" s="27">
        <f t="shared" si="3"/>
        <v>975</v>
      </c>
      <c r="J20" s="14">
        <f t="shared" si="1"/>
        <v>232410.1</v>
      </c>
      <c r="M20" s="35" t="s">
        <v>53</v>
      </c>
      <c r="N20" s="37">
        <f>128570+78177+30488</f>
        <v>237235</v>
      </c>
      <c r="P20" s="64" t="s">
        <v>107</v>
      </c>
      <c r="Q20" s="65">
        <v>12662</v>
      </c>
    </row>
    <row r="21" spans="1:17" ht="60" x14ac:dyDescent="0.25">
      <c r="A21" s="10">
        <v>13</v>
      </c>
      <c r="B21" s="19" t="s">
        <v>16</v>
      </c>
      <c r="C21" s="15">
        <v>180500</v>
      </c>
      <c r="D21" s="9">
        <f t="shared" si="2"/>
        <v>35197.5</v>
      </c>
      <c r="E21" s="14">
        <v>8000</v>
      </c>
      <c r="F21" s="24">
        <f t="shared" si="0"/>
        <v>2737.6</v>
      </c>
      <c r="G21" s="14"/>
      <c r="H21" s="24">
        <v>5000</v>
      </c>
      <c r="I21" s="27">
        <f t="shared" si="3"/>
        <v>975</v>
      </c>
      <c r="J21" s="14">
        <f t="shared" si="1"/>
        <v>232410.1</v>
      </c>
      <c r="M21" s="38" t="s">
        <v>54</v>
      </c>
      <c r="N21" s="41">
        <v>2109000</v>
      </c>
      <c r="P21" s="64" t="s">
        <v>108</v>
      </c>
      <c r="Q21" s="65">
        <v>8800000</v>
      </c>
    </row>
    <row r="22" spans="1:17" ht="23.25" x14ac:dyDescent="0.25">
      <c r="A22" s="10">
        <v>14</v>
      </c>
      <c r="B22" s="19" t="s">
        <v>25</v>
      </c>
      <c r="C22" s="15">
        <v>180500</v>
      </c>
      <c r="D22" s="9">
        <f t="shared" si="2"/>
        <v>35197.5</v>
      </c>
      <c r="E22" s="14">
        <v>8000</v>
      </c>
      <c r="F22" s="24">
        <f t="shared" si="0"/>
        <v>2737.6</v>
      </c>
      <c r="G22" s="14"/>
      <c r="H22" s="24">
        <v>20000</v>
      </c>
      <c r="I22" s="27">
        <f t="shared" si="3"/>
        <v>3900</v>
      </c>
      <c r="J22" s="14">
        <f t="shared" si="1"/>
        <v>250335.1</v>
      </c>
      <c r="M22" s="42" t="s">
        <v>55</v>
      </c>
      <c r="N22" s="43">
        <v>0</v>
      </c>
      <c r="P22" s="64" t="s">
        <v>109</v>
      </c>
      <c r="Q22" s="65">
        <v>3900000</v>
      </c>
    </row>
    <row r="23" spans="1:17" x14ac:dyDescent="0.25">
      <c r="A23" s="10">
        <v>15</v>
      </c>
      <c r="B23" s="19" t="s">
        <v>18</v>
      </c>
      <c r="C23" s="15">
        <v>138000</v>
      </c>
      <c r="D23" s="9">
        <f t="shared" si="2"/>
        <v>26910</v>
      </c>
      <c r="E23" s="14">
        <v>8000</v>
      </c>
      <c r="F23" s="24">
        <f t="shared" si="0"/>
        <v>2737.6</v>
      </c>
      <c r="G23" s="14"/>
      <c r="H23" s="24">
        <v>5000</v>
      </c>
      <c r="I23" s="27">
        <f t="shared" si="3"/>
        <v>975</v>
      </c>
      <c r="J23" s="14">
        <f t="shared" si="1"/>
        <v>181622.6</v>
      </c>
      <c r="M23" s="35" t="s">
        <v>56</v>
      </c>
      <c r="N23" s="37">
        <f>212096+81332+9594</f>
        <v>303022</v>
      </c>
      <c r="P23" s="64" t="s">
        <v>110</v>
      </c>
      <c r="Q23" s="65">
        <v>2750000</v>
      </c>
    </row>
    <row r="24" spans="1:17" x14ac:dyDescent="0.25">
      <c r="A24" s="10">
        <v>16</v>
      </c>
      <c r="B24" s="19" t="s">
        <v>15</v>
      </c>
      <c r="C24" s="15">
        <v>138000</v>
      </c>
      <c r="D24" s="9">
        <f t="shared" si="2"/>
        <v>26910</v>
      </c>
      <c r="E24" s="14">
        <v>8000</v>
      </c>
      <c r="F24" s="24">
        <f t="shared" si="0"/>
        <v>2737.6</v>
      </c>
      <c r="G24" s="14"/>
      <c r="H24" s="24"/>
      <c r="I24" s="27"/>
      <c r="J24" s="14">
        <f t="shared" si="1"/>
        <v>175647.6</v>
      </c>
      <c r="M24" s="35" t="s">
        <v>46</v>
      </c>
      <c r="N24" s="37"/>
      <c r="P24" s="64" t="s">
        <v>111</v>
      </c>
      <c r="Q24" s="67">
        <f>SUM(Q14:Q23)</f>
        <v>17872068</v>
      </c>
    </row>
    <row r="25" spans="1:17" x14ac:dyDescent="0.25">
      <c r="A25" s="10">
        <v>17</v>
      </c>
      <c r="B25" s="19" t="s">
        <v>24</v>
      </c>
      <c r="C25" s="15">
        <v>180500</v>
      </c>
      <c r="D25" s="9">
        <f t="shared" si="2"/>
        <v>35197.5</v>
      </c>
      <c r="E25" s="14">
        <v>8000</v>
      </c>
      <c r="F25" s="24">
        <f t="shared" si="0"/>
        <v>2737.6</v>
      </c>
      <c r="G25" s="14"/>
      <c r="H25" s="24">
        <v>20000</v>
      </c>
      <c r="I25" s="27">
        <f t="shared" si="3"/>
        <v>3900</v>
      </c>
      <c r="J25" s="14">
        <f t="shared" si="1"/>
        <v>250335.1</v>
      </c>
      <c r="M25" s="35" t="s">
        <v>57</v>
      </c>
      <c r="N25" s="37">
        <v>927666</v>
      </c>
      <c r="P25" s="60"/>
      <c r="Q25" s="60"/>
    </row>
    <row r="26" spans="1:17" x14ac:dyDescent="0.25">
      <c r="A26" s="10">
        <v>18</v>
      </c>
      <c r="B26" s="19" t="s">
        <v>16</v>
      </c>
      <c r="C26" s="15">
        <v>155000</v>
      </c>
      <c r="D26" s="9">
        <f t="shared" si="2"/>
        <v>30225</v>
      </c>
      <c r="E26" s="14">
        <v>8000</v>
      </c>
      <c r="F26" s="24">
        <f t="shared" si="0"/>
        <v>2737.6</v>
      </c>
      <c r="G26" s="14"/>
      <c r="H26" s="24">
        <v>5000</v>
      </c>
      <c r="I26" s="27">
        <f t="shared" si="3"/>
        <v>975</v>
      </c>
      <c r="J26" s="14">
        <f t="shared" si="1"/>
        <v>201937.6</v>
      </c>
      <c r="M26" s="35" t="s">
        <v>47</v>
      </c>
      <c r="N26" s="37">
        <v>554999</v>
      </c>
      <c r="P26" s="64" t="s">
        <v>112</v>
      </c>
      <c r="Q26" s="64"/>
    </row>
    <row r="27" spans="1:17" x14ac:dyDescent="0.25">
      <c r="A27" s="10">
        <v>19</v>
      </c>
      <c r="B27" s="12" t="s">
        <v>17</v>
      </c>
      <c r="C27" s="15">
        <v>196000</v>
      </c>
      <c r="D27" s="9">
        <f t="shared" si="2"/>
        <v>38220</v>
      </c>
      <c r="E27" s="14">
        <v>8000</v>
      </c>
      <c r="F27" s="24">
        <f t="shared" si="0"/>
        <v>2737.6</v>
      </c>
      <c r="G27" s="14"/>
      <c r="H27" s="24">
        <v>5000</v>
      </c>
      <c r="I27" s="27">
        <f t="shared" si="3"/>
        <v>975</v>
      </c>
      <c r="J27" s="14">
        <f t="shared" si="1"/>
        <v>250932.6</v>
      </c>
      <c r="M27" s="35" t="s">
        <v>58</v>
      </c>
      <c r="N27" s="37">
        <v>32208</v>
      </c>
      <c r="P27" s="64" t="s">
        <v>113</v>
      </c>
      <c r="Q27" s="65">
        <v>216863</v>
      </c>
    </row>
    <row r="28" spans="1:17" x14ac:dyDescent="0.25">
      <c r="A28" s="10">
        <v>20</v>
      </c>
      <c r="B28" s="12" t="s">
        <v>10</v>
      </c>
      <c r="C28" s="15">
        <v>180500</v>
      </c>
      <c r="D28" s="9">
        <f t="shared" si="2"/>
        <v>35197.5</v>
      </c>
      <c r="E28" s="14">
        <v>8000</v>
      </c>
      <c r="F28" s="24">
        <f t="shared" si="0"/>
        <v>2737.6</v>
      </c>
      <c r="G28" s="14"/>
      <c r="H28" s="24"/>
      <c r="I28" s="27"/>
      <c r="J28" s="14">
        <f t="shared" si="1"/>
        <v>226435.1</v>
      </c>
      <c r="M28" s="35" t="s">
        <v>59</v>
      </c>
      <c r="N28" s="37">
        <f>54000+49943</f>
        <v>103943</v>
      </c>
      <c r="P28" s="64" t="s">
        <v>114</v>
      </c>
      <c r="Q28" s="65">
        <v>1200000</v>
      </c>
    </row>
    <row r="29" spans="1:17" x14ac:dyDescent="0.25">
      <c r="A29" s="10">
        <v>21</v>
      </c>
      <c r="B29" s="12" t="s">
        <v>10</v>
      </c>
      <c r="C29" s="15">
        <v>180500</v>
      </c>
      <c r="D29" s="9">
        <f t="shared" si="2"/>
        <v>35197.5</v>
      </c>
      <c r="E29" s="14">
        <v>8000</v>
      </c>
      <c r="F29" s="24">
        <f t="shared" si="0"/>
        <v>2737.6</v>
      </c>
      <c r="G29" s="14"/>
      <c r="H29" s="24"/>
      <c r="I29" s="27"/>
      <c r="J29" s="14">
        <f>SUM(C29:I29)</f>
        <v>226435.1</v>
      </c>
      <c r="M29" s="35" t="s">
        <v>60</v>
      </c>
      <c r="N29" s="37">
        <f>1308813+6450+145278</f>
        <v>1460541</v>
      </c>
      <c r="P29" s="64" t="s">
        <v>115</v>
      </c>
      <c r="Q29" s="65">
        <v>1200000</v>
      </c>
    </row>
    <row r="30" spans="1:17" x14ac:dyDescent="0.25">
      <c r="B30" s="1" t="s">
        <v>7</v>
      </c>
      <c r="C30" s="16">
        <f t="shared" ref="C30:J30" si="4">SUM(C6:C29)</f>
        <v>4004800</v>
      </c>
      <c r="D30" s="16">
        <f t="shared" si="4"/>
        <v>780936</v>
      </c>
      <c r="E30" s="16">
        <f t="shared" si="4"/>
        <v>168000</v>
      </c>
      <c r="F30" s="16">
        <f t="shared" si="4"/>
        <v>57489.599999999977</v>
      </c>
      <c r="G30" s="16">
        <f t="shared" si="4"/>
        <v>133017</v>
      </c>
      <c r="H30" s="16">
        <f t="shared" si="4"/>
        <v>95000</v>
      </c>
      <c r="I30" s="16">
        <f t="shared" si="4"/>
        <v>18525</v>
      </c>
      <c r="J30" s="16">
        <f t="shared" si="4"/>
        <v>5257767.5999999996</v>
      </c>
      <c r="M30" s="35" t="s">
        <v>61</v>
      </c>
      <c r="N30" s="44"/>
      <c r="P30" s="64" t="s">
        <v>116</v>
      </c>
      <c r="Q30" s="65">
        <v>28696</v>
      </c>
    </row>
    <row r="31" spans="1:17" ht="15.75" x14ac:dyDescent="0.25">
      <c r="A31"/>
      <c r="B31" s="82" t="s">
        <v>154</v>
      </c>
      <c r="C31"/>
      <c r="D31"/>
      <c r="E31"/>
      <c r="F31"/>
      <c r="G31"/>
      <c r="H31"/>
      <c r="I31"/>
      <c r="J31" s="83">
        <f>J30*12</f>
        <v>63093211.199999996</v>
      </c>
      <c r="M31" s="33" t="s">
        <v>62</v>
      </c>
      <c r="N31" s="45">
        <f>SUM(N18:N30)</f>
        <v>10373490</v>
      </c>
      <c r="P31" s="64" t="s">
        <v>117</v>
      </c>
      <c r="Q31" s="65">
        <v>931000</v>
      </c>
    </row>
    <row r="32" spans="1:17" x14ac:dyDescent="0.25">
      <c r="M32" s="33"/>
      <c r="N32" s="34"/>
      <c r="P32" s="64" t="s">
        <v>118</v>
      </c>
      <c r="Q32" s="65">
        <v>130000</v>
      </c>
    </row>
    <row r="33" spans="13:17" x14ac:dyDescent="0.25">
      <c r="M33" s="33" t="s">
        <v>63</v>
      </c>
      <c r="N33" s="34"/>
      <c r="P33" s="64" t="s">
        <v>119</v>
      </c>
      <c r="Q33" s="65">
        <v>523140</v>
      </c>
    </row>
    <row r="34" spans="13:17" x14ac:dyDescent="0.25">
      <c r="M34" s="35" t="s">
        <v>64</v>
      </c>
      <c r="N34" s="37">
        <v>600000</v>
      </c>
      <c r="P34" s="64" t="s">
        <v>120</v>
      </c>
      <c r="Q34" s="65">
        <v>125730</v>
      </c>
    </row>
    <row r="35" spans="13:17" x14ac:dyDescent="0.25">
      <c r="M35" s="35" t="s">
        <v>65</v>
      </c>
      <c r="N35" s="37">
        <v>700000</v>
      </c>
      <c r="P35" s="64" t="s">
        <v>121</v>
      </c>
      <c r="Q35" s="65">
        <v>57841</v>
      </c>
    </row>
    <row r="36" spans="13:17" x14ac:dyDescent="0.25">
      <c r="M36" s="35" t="s">
        <v>66</v>
      </c>
      <c r="N36" s="37">
        <v>114802</v>
      </c>
      <c r="P36" s="64" t="s">
        <v>122</v>
      </c>
      <c r="Q36" s="65">
        <v>171422</v>
      </c>
    </row>
    <row r="37" spans="13:17" x14ac:dyDescent="0.25">
      <c r="M37" s="35" t="s">
        <v>67</v>
      </c>
      <c r="N37" s="37">
        <f>514083+30689+374291</f>
        <v>919063</v>
      </c>
      <c r="P37" s="64" t="s">
        <v>123</v>
      </c>
      <c r="Q37" s="65">
        <v>135486</v>
      </c>
    </row>
    <row r="38" spans="13:17" x14ac:dyDescent="0.25">
      <c r="M38" s="35" t="s">
        <v>68</v>
      </c>
      <c r="N38" s="37">
        <f>16354+4200+23327+18930+38582</f>
        <v>101393</v>
      </c>
      <c r="P38" s="64" t="s">
        <v>124</v>
      </c>
      <c r="Q38" s="65">
        <v>111760</v>
      </c>
    </row>
    <row r="39" spans="13:17" x14ac:dyDescent="0.25">
      <c r="M39" s="35" t="s">
        <v>69</v>
      </c>
      <c r="N39" s="37">
        <f>68432+6999</f>
        <v>75431</v>
      </c>
      <c r="P39" s="64" t="s">
        <v>125</v>
      </c>
      <c r="Q39" s="65">
        <v>17000</v>
      </c>
    </row>
    <row r="40" spans="13:17" x14ac:dyDescent="0.25">
      <c r="M40" s="35" t="s">
        <v>70</v>
      </c>
      <c r="N40" s="37">
        <v>0</v>
      </c>
      <c r="P40" s="64" t="s">
        <v>126</v>
      </c>
      <c r="Q40" s="65">
        <v>281940</v>
      </c>
    </row>
    <row r="41" spans="13:17" x14ac:dyDescent="0.25">
      <c r="M41" s="35" t="s">
        <v>71</v>
      </c>
      <c r="N41" s="37">
        <v>100000</v>
      </c>
      <c r="P41" s="64" t="s">
        <v>127</v>
      </c>
      <c r="Q41" s="64"/>
    </row>
    <row r="42" spans="13:17" x14ac:dyDescent="0.25">
      <c r="M42" s="35" t="s">
        <v>72</v>
      </c>
      <c r="N42" s="37">
        <f>37988+50965</f>
        <v>88953</v>
      </c>
      <c r="P42" s="64" t="s">
        <v>128</v>
      </c>
      <c r="Q42" s="67">
        <f>SUM(Q27:Q41)</f>
        <v>5130878</v>
      </c>
    </row>
    <row r="43" spans="13:17" x14ac:dyDescent="0.25">
      <c r="M43" s="35" t="s">
        <v>73</v>
      </c>
      <c r="N43" s="37">
        <f>106680+76200</f>
        <v>182880</v>
      </c>
      <c r="P43" s="60"/>
      <c r="Q43" s="60"/>
    </row>
    <row r="44" spans="13:17" x14ac:dyDescent="0.25">
      <c r="M44" s="35" t="s">
        <v>74</v>
      </c>
      <c r="N44" s="34"/>
      <c r="P44" s="64" t="s">
        <v>129</v>
      </c>
      <c r="Q44" s="64"/>
    </row>
    <row r="45" spans="13:17" x14ac:dyDescent="0.25">
      <c r="M45" s="33" t="s">
        <v>75</v>
      </c>
      <c r="N45" s="45">
        <f>SUM(N34:N44)</f>
        <v>2882522</v>
      </c>
      <c r="P45" s="64" t="s">
        <v>130</v>
      </c>
      <c r="Q45" s="65">
        <v>10000</v>
      </c>
    </row>
    <row r="46" spans="13:17" x14ac:dyDescent="0.25">
      <c r="M46" s="33"/>
      <c r="N46" s="34"/>
      <c r="P46" s="64" t="s">
        <v>131</v>
      </c>
      <c r="Q46" s="65">
        <v>500455</v>
      </c>
    </row>
    <row r="47" spans="13:17" x14ac:dyDescent="0.25">
      <c r="M47" s="33" t="s">
        <v>76</v>
      </c>
      <c r="N47" s="34"/>
      <c r="P47" s="64" t="s">
        <v>132</v>
      </c>
      <c r="Q47" s="65">
        <v>0</v>
      </c>
    </row>
    <row r="48" spans="13:17" x14ac:dyDescent="0.25">
      <c r="M48" s="35" t="s">
        <v>77</v>
      </c>
      <c r="N48" s="46">
        <v>100000</v>
      </c>
      <c r="P48" s="64" t="s">
        <v>133</v>
      </c>
      <c r="Q48" s="65">
        <v>640000</v>
      </c>
    </row>
    <row r="49" spans="13:17" x14ac:dyDescent="0.25">
      <c r="M49" s="33" t="s">
        <v>78</v>
      </c>
      <c r="N49" s="45">
        <v>100000</v>
      </c>
      <c r="P49" s="64" t="s">
        <v>134</v>
      </c>
      <c r="Q49" s="67">
        <f>SUM(Q45:Q48)</f>
        <v>1150455</v>
      </c>
    </row>
    <row r="50" spans="13:17" x14ac:dyDescent="0.25">
      <c r="M50" s="33"/>
      <c r="N50" s="34"/>
      <c r="P50" s="60"/>
      <c r="Q50" s="60"/>
    </row>
    <row r="51" spans="13:17" x14ac:dyDescent="0.25">
      <c r="M51" s="33" t="s">
        <v>79</v>
      </c>
      <c r="N51" s="34"/>
      <c r="P51" s="64" t="s">
        <v>135</v>
      </c>
      <c r="Q51" s="68">
        <f>Q49+Q42+Q24+Q11</f>
        <v>34132928</v>
      </c>
    </row>
    <row r="52" spans="13:17" ht="60" x14ac:dyDescent="0.25">
      <c r="M52" s="38" t="s">
        <v>80</v>
      </c>
      <c r="N52" s="40">
        <f>25119+3149+147660+91440+268846+73829+16300+19576+22883+1758+194032+81232+1341120+15690+192131+87630+4800+116265-49791</f>
        <v>2653669</v>
      </c>
      <c r="P52" s="60"/>
      <c r="Q52" s="60"/>
    </row>
    <row r="53" spans="13:17" x14ac:dyDescent="0.25">
      <c r="M53" s="38" t="s">
        <v>81</v>
      </c>
      <c r="N53" s="37">
        <f>987+49071</f>
        <v>50058</v>
      </c>
      <c r="P53" s="64" t="s">
        <v>136</v>
      </c>
      <c r="Q53" s="64"/>
    </row>
    <row r="54" spans="13:17" x14ac:dyDescent="0.25">
      <c r="M54" s="35" t="s">
        <v>82</v>
      </c>
      <c r="N54" s="37">
        <f>5000+1203+14100+1900+47600+5732</f>
        <v>75535</v>
      </c>
      <c r="P54" s="64" t="s">
        <v>137</v>
      </c>
      <c r="Q54" s="69">
        <v>2800000</v>
      </c>
    </row>
    <row r="55" spans="13:17" x14ac:dyDescent="0.25">
      <c r="M55" s="35" t="s">
        <v>84</v>
      </c>
      <c r="N55" s="37">
        <f>855+10200+8400+2646+6193</f>
        <v>28294</v>
      </c>
      <c r="P55" s="64" t="s">
        <v>138</v>
      </c>
      <c r="Q55" s="69"/>
    </row>
    <row r="56" spans="13:17" x14ac:dyDescent="0.25">
      <c r="M56" s="33" t="s">
        <v>85</v>
      </c>
      <c r="N56" s="45">
        <f>SUM(N52:N55)</f>
        <v>2807556</v>
      </c>
      <c r="P56" s="70"/>
      <c r="Q56" s="71"/>
    </row>
    <row r="57" spans="13:17" ht="18.75" x14ac:dyDescent="0.3">
      <c r="M57" s="48" t="s">
        <v>86</v>
      </c>
      <c r="N57" s="49">
        <f>SUM(N16+N31+N45+N49+N56)</f>
        <v>19063006</v>
      </c>
      <c r="P57" s="13" t="s">
        <v>139</v>
      </c>
      <c r="Q57" s="72">
        <f>SUM(Q51:Q56)</f>
        <v>36932928</v>
      </c>
    </row>
    <row r="58" spans="13:17" x14ac:dyDescent="0.25">
      <c r="N58" s="47"/>
      <c r="P58" s="13" t="s">
        <v>140</v>
      </c>
      <c r="Q58" s="72">
        <f>Q70-Q57</f>
        <v>8021072</v>
      </c>
    </row>
    <row r="59" spans="13:17" x14ac:dyDescent="0.25">
      <c r="P59" s="73" t="s">
        <v>141</v>
      </c>
      <c r="Q59" s="74">
        <f>SUM(Q57:Q58)</f>
        <v>44954000</v>
      </c>
    </row>
    <row r="60" spans="13:17" ht="15.75" thickBot="1" x14ac:dyDescent="0.3">
      <c r="P60" s="60"/>
      <c r="Q60" s="60"/>
    </row>
    <row r="61" spans="13:17" x14ac:dyDescent="0.25">
      <c r="P61" s="75" t="s">
        <v>142</v>
      </c>
      <c r="Q61" s="76" t="s">
        <v>143</v>
      </c>
    </row>
    <row r="62" spans="13:17" x14ac:dyDescent="0.25">
      <c r="P62" s="64" t="s">
        <v>144</v>
      </c>
      <c r="Q62" s="69">
        <v>33900000</v>
      </c>
    </row>
    <row r="63" spans="13:17" x14ac:dyDescent="0.25">
      <c r="P63" s="64" t="s">
        <v>145</v>
      </c>
      <c r="Q63" s="69">
        <v>4850000</v>
      </c>
    </row>
    <row r="64" spans="13:17" x14ac:dyDescent="0.25">
      <c r="P64" s="64" t="s">
        <v>146</v>
      </c>
      <c r="Q64" s="69">
        <v>5282000</v>
      </c>
    </row>
    <row r="65" spans="16:17" x14ac:dyDescent="0.25">
      <c r="P65" s="64" t="s">
        <v>147</v>
      </c>
      <c r="Q65" s="69">
        <v>22000</v>
      </c>
    </row>
    <row r="66" spans="16:17" x14ac:dyDescent="0.25">
      <c r="P66" s="64" t="s">
        <v>148</v>
      </c>
      <c r="Q66" s="77">
        <f>SUM(Q62:Q65)</f>
        <v>44054000</v>
      </c>
    </row>
    <row r="67" spans="16:17" x14ac:dyDescent="0.25">
      <c r="P67" s="64" t="s">
        <v>149</v>
      </c>
      <c r="Q67" s="69">
        <v>640000</v>
      </c>
    </row>
    <row r="68" spans="16:17" x14ac:dyDescent="0.25">
      <c r="P68" s="64" t="s">
        <v>150</v>
      </c>
      <c r="Q68" s="78">
        <v>260000</v>
      </c>
    </row>
    <row r="69" spans="16:17" x14ac:dyDescent="0.25">
      <c r="P69" s="70"/>
      <c r="Q69" s="70"/>
    </row>
    <row r="70" spans="16:17" x14ac:dyDescent="0.25">
      <c r="P70" s="13" t="s">
        <v>151</v>
      </c>
      <c r="Q70" s="79">
        <f>SUM(Q66:Q68)</f>
        <v>44954000</v>
      </c>
    </row>
  </sheetData>
  <mergeCells count="2">
    <mergeCell ref="M1:N1"/>
    <mergeCell ref="P1:Q1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8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workbookViewId="0">
      <selection activeCell="J31" sqref="J31"/>
    </sheetView>
  </sheetViews>
  <sheetFormatPr defaultRowHeight="12.75" x14ac:dyDescent="0.2"/>
  <cols>
    <col min="2" max="2" width="22" customWidth="1"/>
    <col min="3" max="3" width="14.5703125" customWidth="1"/>
    <col min="4" max="4" width="13.7109375" customWidth="1"/>
    <col min="5" max="6" width="13.85546875" customWidth="1"/>
    <col min="7" max="7" width="12.85546875" customWidth="1"/>
    <col min="8" max="8" width="14.28515625" customWidth="1"/>
    <col min="9" max="9" width="14.42578125" customWidth="1"/>
    <col min="10" max="10" width="28" customWidth="1"/>
    <col min="13" max="13" width="28.5703125" customWidth="1"/>
    <col min="14" max="14" width="30.140625" customWidth="1"/>
    <col min="16" max="16" width="46" customWidth="1"/>
    <col min="17" max="17" width="20.5703125" customWidth="1"/>
  </cols>
  <sheetData>
    <row r="1" spans="1:17" ht="21" x14ac:dyDescent="0.3">
      <c r="A1" s="2" t="s">
        <v>0</v>
      </c>
      <c r="B1" s="2"/>
      <c r="C1" s="1"/>
      <c r="D1" s="1"/>
      <c r="E1" s="1"/>
      <c r="F1" s="1"/>
      <c r="G1" s="1"/>
      <c r="H1" s="1"/>
      <c r="I1" s="1"/>
      <c r="J1" s="1"/>
      <c r="M1" s="80" t="s">
        <v>152</v>
      </c>
      <c r="N1" s="80"/>
      <c r="P1" s="81" t="s">
        <v>153</v>
      </c>
      <c r="Q1" s="81"/>
    </row>
    <row r="2" spans="1:17" ht="21.75" thickBot="1" x14ac:dyDescent="0.4">
      <c r="A2" s="2" t="s">
        <v>9</v>
      </c>
      <c r="B2" s="2"/>
      <c r="C2" s="1"/>
      <c r="D2" s="1"/>
      <c r="E2" s="1"/>
      <c r="F2" s="1"/>
      <c r="G2" s="1"/>
      <c r="H2" s="1"/>
      <c r="I2" s="1"/>
      <c r="J2" s="1"/>
      <c r="M2" s="31"/>
      <c r="N2" s="32" t="s">
        <v>37</v>
      </c>
      <c r="P2" s="60"/>
      <c r="Q2" s="60"/>
    </row>
    <row r="3" spans="1:17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M3" s="33" t="s">
        <v>38</v>
      </c>
      <c r="N3" s="34"/>
      <c r="P3" s="61" t="s">
        <v>90</v>
      </c>
      <c r="Q3" s="62" t="s">
        <v>91</v>
      </c>
    </row>
    <row r="4" spans="1:17" ht="45.75" thickBot="1" x14ac:dyDescent="0.3">
      <c r="A4" s="4" t="s">
        <v>28</v>
      </c>
      <c r="B4" s="4" t="s">
        <v>27</v>
      </c>
      <c r="C4" s="6" t="s">
        <v>4</v>
      </c>
      <c r="D4" s="6" t="s">
        <v>5</v>
      </c>
      <c r="E4" s="6" t="s">
        <v>8</v>
      </c>
      <c r="F4" s="22" t="s">
        <v>6</v>
      </c>
      <c r="G4" s="6" t="s">
        <v>26</v>
      </c>
      <c r="H4" s="22" t="s">
        <v>29</v>
      </c>
      <c r="I4" s="25" t="s">
        <v>30</v>
      </c>
      <c r="J4" s="28" t="s">
        <v>31</v>
      </c>
      <c r="M4" s="35" t="s">
        <v>39</v>
      </c>
      <c r="N4" s="52">
        <v>645914</v>
      </c>
      <c r="P4" s="63" t="s">
        <v>92</v>
      </c>
      <c r="Q4" s="63"/>
    </row>
    <row r="5" spans="1:17" ht="15.75" thickBot="1" x14ac:dyDescent="0.3">
      <c r="A5" s="3"/>
      <c r="B5" s="4"/>
      <c r="C5" s="6"/>
      <c r="D5" s="17">
        <v>0.19500000000000001</v>
      </c>
      <c r="E5" s="5"/>
      <c r="F5" s="18">
        <f>1.18*(0.14+0.15)</f>
        <v>0.3422</v>
      </c>
      <c r="G5" s="5"/>
      <c r="H5" s="18"/>
      <c r="I5" s="26">
        <v>0.19500000000000001</v>
      </c>
      <c r="J5" s="12"/>
      <c r="M5" s="35" t="s">
        <v>40</v>
      </c>
      <c r="N5" s="52">
        <f>7155+726993+113385+340751</f>
        <v>1188284</v>
      </c>
      <c r="P5" s="64" t="s">
        <v>93</v>
      </c>
      <c r="Q5" s="65">
        <v>7512260</v>
      </c>
    </row>
    <row r="6" spans="1:17" ht="15" x14ac:dyDescent="0.25">
      <c r="A6" s="7">
        <v>1</v>
      </c>
      <c r="B6" s="21" t="s">
        <v>11</v>
      </c>
      <c r="C6" s="9">
        <v>412800</v>
      </c>
      <c r="D6" s="9">
        <f>C6*$D$5</f>
        <v>80496</v>
      </c>
      <c r="E6" s="8">
        <v>8000</v>
      </c>
      <c r="F6" s="23">
        <f t="shared" ref="F6:F29" si="0">$F$5*E6</f>
        <v>2737.6</v>
      </c>
      <c r="G6" s="8">
        <v>86153</v>
      </c>
      <c r="H6" s="23"/>
      <c r="I6" s="27"/>
      <c r="J6" s="14">
        <f t="shared" ref="J6:J28" si="1">SUM(C6:I6)</f>
        <v>590186.6</v>
      </c>
      <c r="M6" s="35" t="s">
        <v>41</v>
      </c>
      <c r="N6" s="52">
        <v>21398</v>
      </c>
      <c r="P6" s="64" t="s">
        <v>94</v>
      </c>
      <c r="Q6" s="65">
        <v>1464891</v>
      </c>
    </row>
    <row r="7" spans="1:17" ht="30" x14ac:dyDescent="0.25">
      <c r="A7" s="10"/>
      <c r="B7" s="50" t="s">
        <v>1</v>
      </c>
      <c r="C7" s="13"/>
      <c r="D7" s="9"/>
      <c r="E7" s="12"/>
      <c r="F7" s="24"/>
      <c r="G7" s="12"/>
      <c r="H7" s="24"/>
      <c r="I7" s="27"/>
      <c r="J7" s="14">
        <f t="shared" si="1"/>
        <v>0</v>
      </c>
      <c r="M7" s="38" t="s">
        <v>42</v>
      </c>
      <c r="N7" s="52">
        <f>5000+183308+35269+35794</f>
        <v>259371</v>
      </c>
      <c r="P7" s="64" t="s">
        <v>95</v>
      </c>
      <c r="Q7" s="64">
        <v>0</v>
      </c>
    </row>
    <row r="8" spans="1:17" ht="15" x14ac:dyDescent="0.25">
      <c r="A8" s="10">
        <v>2</v>
      </c>
      <c r="B8" s="19" t="s">
        <v>12</v>
      </c>
      <c r="C8" s="15">
        <v>180500</v>
      </c>
      <c r="D8" s="9">
        <f t="shared" ref="D8:D29" si="2">C8*$D$5</f>
        <v>35197.5</v>
      </c>
      <c r="E8" s="14">
        <v>8000</v>
      </c>
      <c r="F8" s="24">
        <f>$F$5*E8</f>
        <v>2737.6</v>
      </c>
      <c r="G8" s="14"/>
      <c r="H8" s="24"/>
      <c r="I8" s="27"/>
      <c r="J8" s="14">
        <f>SUM(C8:I8)</f>
        <v>226435.1</v>
      </c>
      <c r="M8" s="35" t="s">
        <v>43</v>
      </c>
      <c r="N8" s="52">
        <f>52121</f>
        <v>52121</v>
      </c>
      <c r="P8" s="64" t="s">
        <v>96</v>
      </c>
      <c r="Q8" s="66">
        <f>325600+65698+57622</f>
        <v>448920</v>
      </c>
    </row>
    <row r="9" spans="1:17" ht="15" x14ac:dyDescent="0.25">
      <c r="A9" s="10"/>
      <c r="B9" s="50" t="s">
        <v>2</v>
      </c>
      <c r="C9" s="13"/>
      <c r="D9" s="9"/>
      <c r="E9" s="12"/>
      <c r="F9" s="24"/>
      <c r="G9" s="12"/>
      <c r="H9" s="24"/>
      <c r="I9" s="27"/>
      <c r="J9" s="14">
        <f t="shared" si="1"/>
        <v>0</v>
      </c>
      <c r="M9" s="35" t="s">
        <v>44</v>
      </c>
      <c r="N9" s="52">
        <v>331620</v>
      </c>
      <c r="P9" s="64" t="s">
        <v>97</v>
      </c>
      <c r="Q9" s="66">
        <v>23456</v>
      </c>
    </row>
    <row r="10" spans="1:17" ht="15" x14ac:dyDescent="0.25">
      <c r="A10" s="10">
        <v>3</v>
      </c>
      <c r="B10" s="20" t="s">
        <v>13</v>
      </c>
      <c r="C10" s="15">
        <v>180500</v>
      </c>
      <c r="D10" s="9">
        <f t="shared" si="2"/>
        <v>35197.5</v>
      </c>
      <c r="E10" s="14">
        <v>8000</v>
      </c>
      <c r="F10" s="24">
        <f t="shared" si="0"/>
        <v>2737.6</v>
      </c>
      <c r="G10" s="14"/>
      <c r="H10" s="24"/>
      <c r="I10" s="27"/>
      <c r="J10" s="14">
        <f t="shared" si="1"/>
        <v>226435.1</v>
      </c>
      <c r="M10" s="35" t="s">
        <v>45</v>
      </c>
      <c r="N10" s="52">
        <v>116100</v>
      </c>
      <c r="P10" s="64" t="s">
        <v>98</v>
      </c>
      <c r="Q10" s="65">
        <v>530000</v>
      </c>
    </row>
    <row r="11" spans="1:17" ht="15" x14ac:dyDescent="0.25">
      <c r="A11" s="10"/>
      <c r="B11" s="50" t="s">
        <v>3</v>
      </c>
      <c r="C11" s="13"/>
      <c r="D11" s="9"/>
      <c r="E11" s="12"/>
      <c r="F11" s="24"/>
      <c r="G11" s="12"/>
      <c r="H11" s="24"/>
      <c r="I11" s="27"/>
      <c r="J11" s="14">
        <f t="shared" si="1"/>
        <v>0</v>
      </c>
      <c r="M11" s="35" t="s">
        <v>46</v>
      </c>
      <c r="N11" s="52"/>
      <c r="P11" s="64" t="s">
        <v>99</v>
      </c>
      <c r="Q11" s="67">
        <f>SUM(Q5:Q10)</f>
        <v>9979527</v>
      </c>
    </row>
    <row r="12" spans="1:17" ht="15" x14ac:dyDescent="0.25">
      <c r="A12" s="10">
        <v>4</v>
      </c>
      <c r="B12" s="19" t="s">
        <v>14</v>
      </c>
      <c r="C12" s="15">
        <v>300000</v>
      </c>
      <c r="D12" s="9">
        <f t="shared" si="2"/>
        <v>58500</v>
      </c>
      <c r="E12" s="14">
        <v>8000</v>
      </c>
      <c r="F12" s="24">
        <f t="shared" si="0"/>
        <v>2737.6</v>
      </c>
      <c r="G12" s="14">
        <v>46864</v>
      </c>
      <c r="H12" s="24"/>
      <c r="I12" s="27"/>
      <c r="J12" s="14">
        <f t="shared" si="1"/>
        <v>416101.6</v>
      </c>
      <c r="M12" s="35" t="s">
        <v>47</v>
      </c>
      <c r="N12" s="52">
        <v>0</v>
      </c>
      <c r="P12" s="60"/>
      <c r="Q12" s="60"/>
    </row>
    <row r="13" spans="1:17" ht="15" x14ac:dyDescent="0.25">
      <c r="A13" s="10">
        <v>5</v>
      </c>
      <c r="B13" s="20" t="s">
        <v>15</v>
      </c>
      <c r="C13" s="15">
        <v>138000</v>
      </c>
      <c r="D13" s="9">
        <f t="shared" si="2"/>
        <v>26910</v>
      </c>
      <c r="E13" s="14">
        <v>8000</v>
      </c>
      <c r="F13" s="24">
        <f t="shared" si="0"/>
        <v>2737.6</v>
      </c>
      <c r="G13" s="14"/>
      <c r="H13" s="24"/>
      <c r="I13" s="27"/>
      <c r="J13" s="14">
        <f t="shared" si="1"/>
        <v>175647.6</v>
      </c>
      <c r="M13" s="35" t="s">
        <v>48</v>
      </c>
      <c r="N13" s="52">
        <f>19050+265580</f>
        <v>284630</v>
      </c>
      <c r="P13" s="64" t="s">
        <v>100</v>
      </c>
      <c r="Q13" s="64"/>
    </row>
    <row r="14" spans="1:17" ht="15" x14ac:dyDescent="0.25">
      <c r="A14" s="10">
        <v>6</v>
      </c>
      <c r="B14" s="19" t="s">
        <v>19</v>
      </c>
      <c r="C14" s="15">
        <v>180500</v>
      </c>
      <c r="D14" s="9">
        <f t="shared" si="2"/>
        <v>35197.5</v>
      </c>
      <c r="E14" s="14">
        <v>8000</v>
      </c>
      <c r="F14" s="24">
        <f t="shared" si="0"/>
        <v>2737.6</v>
      </c>
      <c r="G14" s="14"/>
      <c r="H14" s="24">
        <v>5000</v>
      </c>
      <c r="I14" s="27">
        <f>H14*$I$5</f>
        <v>975</v>
      </c>
      <c r="J14" s="14">
        <f t="shared" si="1"/>
        <v>232410.1</v>
      </c>
      <c r="M14" s="35" t="s">
        <v>49</v>
      </c>
      <c r="N14" s="52">
        <v>0</v>
      </c>
      <c r="P14" s="64" t="s">
        <v>101</v>
      </c>
      <c r="Q14" s="65">
        <v>4196</v>
      </c>
    </row>
    <row r="15" spans="1:17" ht="15" x14ac:dyDescent="0.25">
      <c r="A15" s="10">
        <v>7</v>
      </c>
      <c r="B15" s="19" t="s">
        <v>20</v>
      </c>
      <c r="C15" s="15">
        <v>180500</v>
      </c>
      <c r="D15" s="9">
        <f t="shared" si="2"/>
        <v>35197.5</v>
      </c>
      <c r="E15" s="14">
        <v>8000</v>
      </c>
      <c r="F15" s="24">
        <f t="shared" si="0"/>
        <v>2737.6</v>
      </c>
      <c r="G15" s="14"/>
      <c r="H15" s="24">
        <v>5000</v>
      </c>
      <c r="I15" s="27">
        <f t="shared" ref="I15:I27" si="3">H15*$I$5</f>
        <v>975</v>
      </c>
      <c r="J15" s="14">
        <f t="shared" si="1"/>
        <v>232410.1</v>
      </c>
      <c r="M15" s="35" t="s">
        <v>50</v>
      </c>
      <c r="N15" s="53">
        <v>0</v>
      </c>
      <c r="P15" s="64" t="s">
        <v>102</v>
      </c>
      <c r="Q15" s="65">
        <v>9778</v>
      </c>
    </row>
    <row r="16" spans="1:17" ht="15" x14ac:dyDescent="0.25">
      <c r="A16" s="10">
        <v>8</v>
      </c>
      <c r="B16" s="19" t="s">
        <v>20</v>
      </c>
      <c r="C16" s="15">
        <v>180500</v>
      </c>
      <c r="D16" s="9">
        <f t="shared" si="2"/>
        <v>35197.5</v>
      </c>
      <c r="E16" s="14">
        <v>8000</v>
      </c>
      <c r="F16" s="24">
        <f t="shared" si="0"/>
        <v>2737.6</v>
      </c>
      <c r="G16" s="14"/>
      <c r="H16" s="24">
        <v>5000</v>
      </c>
      <c r="I16" s="27">
        <f t="shared" si="3"/>
        <v>975</v>
      </c>
      <c r="J16" s="14">
        <f t="shared" si="1"/>
        <v>232410.1</v>
      </c>
      <c r="M16" s="33" t="s">
        <v>51</v>
      </c>
      <c r="N16" s="51">
        <f>SUM(N4:N15)</f>
        <v>2899438</v>
      </c>
      <c r="P16" s="64" t="s">
        <v>103</v>
      </c>
      <c r="Q16" s="65">
        <v>2000000</v>
      </c>
    </row>
    <row r="17" spans="1:17" ht="15" x14ac:dyDescent="0.25">
      <c r="A17" s="10">
        <v>9</v>
      </c>
      <c r="B17" s="19" t="s">
        <v>21</v>
      </c>
      <c r="C17" s="15">
        <v>180500</v>
      </c>
      <c r="D17" s="9">
        <f t="shared" si="2"/>
        <v>35197.5</v>
      </c>
      <c r="E17" s="14">
        <v>8000</v>
      </c>
      <c r="F17" s="24">
        <f t="shared" si="0"/>
        <v>2737.6</v>
      </c>
      <c r="G17" s="14"/>
      <c r="H17" s="24">
        <v>5000</v>
      </c>
      <c r="I17" s="27">
        <f t="shared" si="3"/>
        <v>975</v>
      </c>
      <c r="J17" s="14">
        <f t="shared" si="1"/>
        <v>232410.1</v>
      </c>
      <c r="M17" s="33"/>
      <c r="N17" s="53"/>
      <c r="P17" s="64" t="s">
        <v>104</v>
      </c>
      <c r="Q17" s="65">
        <v>107986</v>
      </c>
    </row>
    <row r="18" spans="1:17" ht="15" x14ac:dyDescent="0.25">
      <c r="A18" s="10">
        <v>10</v>
      </c>
      <c r="B18" s="20" t="s">
        <v>22</v>
      </c>
      <c r="C18" s="15">
        <v>180500</v>
      </c>
      <c r="D18" s="9">
        <f t="shared" si="2"/>
        <v>35197.5</v>
      </c>
      <c r="E18" s="14">
        <v>8000</v>
      </c>
      <c r="F18" s="24">
        <f t="shared" si="0"/>
        <v>2737.6</v>
      </c>
      <c r="G18" s="14"/>
      <c r="H18" s="24">
        <v>5000</v>
      </c>
      <c r="I18" s="27">
        <f t="shared" si="3"/>
        <v>975</v>
      </c>
      <c r="J18" s="14">
        <f t="shared" si="1"/>
        <v>232410.1</v>
      </c>
      <c r="M18" s="35" t="s">
        <v>52</v>
      </c>
      <c r="N18" s="52">
        <f>2921996+886094+212984</f>
        <v>4021074</v>
      </c>
      <c r="P18" s="64" t="s">
        <v>105</v>
      </c>
      <c r="Q18" s="65">
        <v>188157</v>
      </c>
    </row>
    <row r="19" spans="1:17" ht="15" x14ac:dyDescent="0.25">
      <c r="A19" s="10">
        <v>11</v>
      </c>
      <c r="B19" s="19" t="s">
        <v>23</v>
      </c>
      <c r="C19" s="15">
        <v>180500</v>
      </c>
      <c r="D19" s="9">
        <f t="shared" si="2"/>
        <v>35197.5</v>
      </c>
      <c r="E19" s="14">
        <v>8000</v>
      </c>
      <c r="F19" s="24">
        <f t="shared" si="0"/>
        <v>2737.6</v>
      </c>
      <c r="G19" s="14"/>
      <c r="H19" s="24">
        <v>5000</v>
      </c>
      <c r="I19" s="27">
        <f t="shared" si="3"/>
        <v>975</v>
      </c>
      <c r="J19" s="14">
        <f t="shared" si="1"/>
        <v>232410.1</v>
      </c>
      <c r="M19" s="35" t="s">
        <v>41</v>
      </c>
      <c r="N19" s="52">
        <v>623802</v>
      </c>
      <c r="P19" s="64" t="s">
        <v>106</v>
      </c>
      <c r="Q19" s="65">
        <v>99289</v>
      </c>
    </row>
    <row r="20" spans="1:17" ht="15" x14ac:dyDescent="0.25">
      <c r="A20" s="10">
        <v>12</v>
      </c>
      <c r="B20" s="19" t="s">
        <v>23</v>
      </c>
      <c r="C20" s="15">
        <v>180500</v>
      </c>
      <c r="D20" s="9">
        <f t="shared" si="2"/>
        <v>35197.5</v>
      </c>
      <c r="E20" s="14">
        <v>8000</v>
      </c>
      <c r="F20" s="24">
        <f t="shared" si="0"/>
        <v>2737.6</v>
      </c>
      <c r="G20" s="14"/>
      <c r="H20" s="24">
        <v>5000</v>
      </c>
      <c r="I20" s="27">
        <f t="shared" si="3"/>
        <v>975</v>
      </c>
      <c r="J20" s="14">
        <f t="shared" si="1"/>
        <v>232410.1</v>
      </c>
      <c r="M20" s="35" t="s">
        <v>53</v>
      </c>
      <c r="N20" s="52">
        <f>128570+78177+30488</f>
        <v>237235</v>
      </c>
      <c r="P20" s="64" t="s">
        <v>107</v>
      </c>
      <c r="Q20" s="65">
        <v>12662</v>
      </c>
    </row>
    <row r="21" spans="1:17" ht="51" customHeight="1" x14ac:dyDescent="0.25">
      <c r="A21" s="10">
        <v>13</v>
      </c>
      <c r="B21" s="19" t="s">
        <v>16</v>
      </c>
      <c r="C21" s="15">
        <v>180500</v>
      </c>
      <c r="D21" s="9">
        <f t="shared" si="2"/>
        <v>35197.5</v>
      </c>
      <c r="E21" s="14">
        <v>8000</v>
      </c>
      <c r="F21" s="24">
        <f t="shared" si="0"/>
        <v>2737.6</v>
      </c>
      <c r="G21" s="14"/>
      <c r="H21" s="24">
        <v>5000</v>
      </c>
      <c r="I21" s="27">
        <f t="shared" si="3"/>
        <v>975</v>
      </c>
      <c r="J21" s="14">
        <f t="shared" si="1"/>
        <v>232410.1</v>
      </c>
      <c r="M21" s="38" t="s">
        <v>54</v>
      </c>
      <c r="N21" s="54">
        <v>2109000</v>
      </c>
      <c r="P21" s="64" t="s">
        <v>108</v>
      </c>
      <c r="Q21" s="65">
        <v>8800000</v>
      </c>
    </row>
    <row r="22" spans="1:17" ht="21" customHeight="1" x14ac:dyDescent="0.25">
      <c r="A22" s="10">
        <v>14</v>
      </c>
      <c r="B22" s="19" t="s">
        <v>25</v>
      </c>
      <c r="C22" s="15">
        <v>180500</v>
      </c>
      <c r="D22" s="9">
        <f t="shared" si="2"/>
        <v>35197.5</v>
      </c>
      <c r="E22" s="14">
        <v>8000</v>
      </c>
      <c r="F22" s="24">
        <f t="shared" si="0"/>
        <v>2737.6</v>
      </c>
      <c r="G22" s="14"/>
      <c r="H22" s="24">
        <v>20000</v>
      </c>
      <c r="I22" s="27">
        <f t="shared" si="3"/>
        <v>3900</v>
      </c>
      <c r="J22" s="14">
        <f t="shared" si="1"/>
        <v>250335.1</v>
      </c>
      <c r="M22" s="42"/>
      <c r="N22" s="55">
        <v>0</v>
      </c>
      <c r="P22" s="64" t="s">
        <v>109</v>
      </c>
      <c r="Q22" s="65">
        <v>3900000</v>
      </c>
    </row>
    <row r="23" spans="1:17" ht="15" x14ac:dyDescent="0.25">
      <c r="A23" s="10">
        <v>15</v>
      </c>
      <c r="B23" s="19" t="s">
        <v>18</v>
      </c>
      <c r="C23" s="15">
        <v>138000</v>
      </c>
      <c r="D23" s="9">
        <f t="shared" si="2"/>
        <v>26910</v>
      </c>
      <c r="E23" s="14">
        <v>8000</v>
      </c>
      <c r="F23" s="24">
        <f t="shared" si="0"/>
        <v>2737.6</v>
      </c>
      <c r="G23" s="14"/>
      <c r="H23" s="24">
        <v>5000</v>
      </c>
      <c r="I23" s="27">
        <f t="shared" si="3"/>
        <v>975</v>
      </c>
      <c r="J23" s="14">
        <f t="shared" si="1"/>
        <v>181622.6</v>
      </c>
      <c r="M23" s="35" t="s">
        <v>56</v>
      </c>
      <c r="N23" s="52">
        <f>212096+81332+9594</f>
        <v>303022</v>
      </c>
      <c r="P23" s="64" t="s">
        <v>110</v>
      </c>
      <c r="Q23" s="65">
        <v>2750000</v>
      </c>
    </row>
    <row r="24" spans="1:17" ht="15" x14ac:dyDescent="0.25">
      <c r="A24" s="10">
        <v>16</v>
      </c>
      <c r="B24" s="19" t="s">
        <v>15</v>
      </c>
      <c r="C24" s="15">
        <v>138000</v>
      </c>
      <c r="D24" s="9">
        <f t="shared" si="2"/>
        <v>26910</v>
      </c>
      <c r="E24" s="14">
        <v>8000</v>
      </c>
      <c r="F24" s="24">
        <f t="shared" si="0"/>
        <v>2737.6</v>
      </c>
      <c r="G24" s="14"/>
      <c r="H24" s="24"/>
      <c r="I24" s="27"/>
      <c r="J24" s="14">
        <f t="shared" si="1"/>
        <v>175647.6</v>
      </c>
      <c r="M24" s="35" t="s">
        <v>46</v>
      </c>
      <c r="N24" s="52"/>
      <c r="P24" s="64" t="s">
        <v>111</v>
      </c>
      <c r="Q24" s="67">
        <f>SUM(Q14:Q23)</f>
        <v>17872068</v>
      </c>
    </row>
    <row r="25" spans="1:17" ht="15" x14ac:dyDescent="0.25">
      <c r="A25" s="10">
        <v>17</v>
      </c>
      <c r="B25" s="19" t="s">
        <v>24</v>
      </c>
      <c r="C25" s="15">
        <v>180500</v>
      </c>
      <c r="D25" s="9">
        <f t="shared" si="2"/>
        <v>35197.5</v>
      </c>
      <c r="E25" s="14">
        <v>8000</v>
      </c>
      <c r="F25" s="24">
        <f t="shared" si="0"/>
        <v>2737.6</v>
      </c>
      <c r="G25" s="14"/>
      <c r="H25" s="24">
        <v>20000</v>
      </c>
      <c r="I25" s="27">
        <f t="shared" si="3"/>
        <v>3900</v>
      </c>
      <c r="J25" s="14">
        <f t="shared" si="1"/>
        <v>250335.1</v>
      </c>
      <c r="M25" s="35" t="s">
        <v>57</v>
      </c>
      <c r="N25" s="52">
        <v>927666</v>
      </c>
      <c r="P25" s="60"/>
      <c r="Q25" s="60"/>
    </row>
    <row r="26" spans="1:17" ht="15" x14ac:dyDescent="0.25">
      <c r="A26" s="10">
        <v>18</v>
      </c>
      <c r="B26" s="19" t="s">
        <v>16</v>
      </c>
      <c r="C26" s="15">
        <v>155000</v>
      </c>
      <c r="D26" s="9">
        <f t="shared" si="2"/>
        <v>30225</v>
      </c>
      <c r="E26" s="14">
        <v>8000</v>
      </c>
      <c r="F26" s="24">
        <f t="shared" si="0"/>
        <v>2737.6</v>
      </c>
      <c r="G26" s="14"/>
      <c r="H26" s="24">
        <v>5000</v>
      </c>
      <c r="I26" s="27">
        <f t="shared" si="3"/>
        <v>975</v>
      </c>
      <c r="J26" s="14">
        <f t="shared" si="1"/>
        <v>201937.6</v>
      </c>
      <c r="M26" s="35" t="s">
        <v>47</v>
      </c>
      <c r="N26" s="52">
        <v>554999</v>
      </c>
      <c r="P26" s="64" t="s">
        <v>112</v>
      </c>
      <c r="Q26" s="64"/>
    </row>
    <row r="27" spans="1:17" ht="15" x14ac:dyDescent="0.25">
      <c r="A27" s="10">
        <v>19</v>
      </c>
      <c r="B27" s="12" t="s">
        <v>17</v>
      </c>
      <c r="C27" s="15">
        <v>196000</v>
      </c>
      <c r="D27" s="9">
        <f t="shared" si="2"/>
        <v>38220</v>
      </c>
      <c r="E27" s="14">
        <v>8000</v>
      </c>
      <c r="F27" s="24">
        <f t="shared" si="0"/>
        <v>2737.6</v>
      </c>
      <c r="G27" s="14"/>
      <c r="H27" s="24">
        <v>5000</v>
      </c>
      <c r="I27" s="27">
        <f t="shared" si="3"/>
        <v>975</v>
      </c>
      <c r="J27" s="14">
        <f t="shared" si="1"/>
        <v>250932.6</v>
      </c>
      <c r="M27" s="35" t="s">
        <v>58</v>
      </c>
      <c r="N27" s="52">
        <v>32208</v>
      </c>
      <c r="P27" s="64" t="s">
        <v>113</v>
      </c>
      <c r="Q27" s="65">
        <v>216863</v>
      </c>
    </row>
    <row r="28" spans="1:17" ht="15" x14ac:dyDescent="0.25">
      <c r="A28" s="10">
        <v>20</v>
      </c>
      <c r="B28" s="12" t="s">
        <v>10</v>
      </c>
      <c r="C28" s="15">
        <v>180500</v>
      </c>
      <c r="D28" s="9">
        <f t="shared" si="2"/>
        <v>35197.5</v>
      </c>
      <c r="E28" s="14">
        <v>8000</v>
      </c>
      <c r="F28" s="24">
        <f t="shared" si="0"/>
        <v>2737.6</v>
      </c>
      <c r="G28" s="14"/>
      <c r="H28" s="24"/>
      <c r="I28" s="27"/>
      <c r="J28" s="14">
        <f t="shared" si="1"/>
        <v>226435.1</v>
      </c>
      <c r="M28" s="35" t="s">
        <v>59</v>
      </c>
      <c r="N28" s="52">
        <f>54000+49943</f>
        <v>103943</v>
      </c>
      <c r="P28" s="64" t="s">
        <v>114</v>
      </c>
      <c r="Q28" s="65">
        <v>1200000</v>
      </c>
    </row>
    <row r="29" spans="1:17" ht="15" x14ac:dyDescent="0.25">
      <c r="A29" s="10">
        <v>21</v>
      </c>
      <c r="B29" s="12" t="s">
        <v>10</v>
      </c>
      <c r="C29" s="15">
        <v>180500</v>
      </c>
      <c r="D29" s="9">
        <f t="shared" si="2"/>
        <v>35197.5</v>
      </c>
      <c r="E29" s="14">
        <v>8000</v>
      </c>
      <c r="F29" s="24">
        <f t="shared" si="0"/>
        <v>2737.6</v>
      </c>
      <c r="G29" s="14"/>
      <c r="H29" s="24"/>
      <c r="I29" s="27"/>
      <c r="J29" s="14">
        <f>SUM(C29:I29)</f>
        <v>226435.1</v>
      </c>
      <c r="M29" s="35" t="s">
        <v>60</v>
      </c>
      <c r="N29" s="52">
        <f>1308813+6450+145278</f>
        <v>1460541</v>
      </c>
      <c r="P29" s="64" t="s">
        <v>115</v>
      </c>
      <c r="Q29" s="65">
        <v>1200000</v>
      </c>
    </row>
    <row r="30" spans="1:17" ht="15" x14ac:dyDescent="0.25">
      <c r="A30" s="1"/>
      <c r="B30" s="1" t="s">
        <v>7</v>
      </c>
      <c r="C30" s="16">
        <f t="shared" ref="C30:J30" si="4">SUM(C6:C29)</f>
        <v>4004800</v>
      </c>
      <c r="D30" s="16">
        <f t="shared" si="4"/>
        <v>780936</v>
      </c>
      <c r="E30" s="16">
        <f t="shared" si="4"/>
        <v>168000</v>
      </c>
      <c r="F30" s="16">
        <f t="shared" si="4"/>
        <v>57489.599999999977</v>
      </c>
      <c r="G30" s="16">
        <f t="shared" si="4"/>
        <v>133017</v>
      </c>
      <c r="H30" s="16">
        <f t="shared" si="4"/>
        <v>95000</v>
      </c>
      <c r="I30" s="16">
        <f t="shared" si="4"/>
        <v>18525</v>
      </c>
      <c r="J30" s="16">
        <f t="shared" si="4"/>
        <v>5257767.5999999996</v>
      </c>
      <c r="M30" s="35" t="s">
        <v>61</v>
      </c>
      <c r="N30" s="56"/>
      <c r="P30" s="64" t="s">
        <v>116</v>
      </c>
      <c r="Q30" s="65">
        <v>28696</v>
      </c>
    </row>
    <row r="31" spans="1:17" ht="15.75" x14ac:dyDescent="0.25">
      <c r="B31" s="82" t="s">
        <v>154</v>
      </c>
      <c r="J31" s="83">
        <f>J30*12</f>
        <v>63093211.199999996</v>
      </c>
      <c r="M31" s="33" t="s">
        <v>62</v>
      </c>
      <c r="N31" s="57">
        <f>SUM(N18:N30)</f>
        <v>10373490</v>
      </c>
      <c r="P31" s="64" t="s">
        <v>117</v>
      </c>
      <c r="Q31" s="65">
        <v>931000</v>
      </c>
    </row>
    <row r="32" spans="1:17" ht="15" x14ac:dyDescent="0.25">
      <c r="M32" s="33"/>
      <c r="N32" s="53"/>
      <c r="P32" s="64" t="s">
        <v>118</v>
      </c>
      <c r="Q32" s="65">
        <v>130000</v>
      </c>
    </row>
    <row r="33" spans="13:17" ht="15" x14ac:dyDescent="0.25">
      <c r="M33" s="33" t="s">
        <v>63</v>
      </c>
      <c r="N33" s="53"/>
      <c r="P33" s="64" t="s">
        <v>119</v>
      </c>
      <c r="Q33" s="65">
        <v>523140</v>
      </c>
    </row>
    <row r="34" spans="13:17" ht="15" x14ac:dyDescent="0.25">
      <c r="M34" s="35" t="s">
        <v>64</v>
      </c>
      <c r="N34" s="52">
        <v>600000</v>
      </c>
      <c r="P34" s="64" t="s">
        <v>120</v>
      </c>
      <c r="Q34" s="65">
        <v>125730</v>
      </c>
    </row>
    <row r="35" spans="13:17" ht="15" x14ac:dyDescent="0.25">
      <c r="M35" s="35" t="s">
        <v>65</v>
      </c>
      <c r="N35" s="52">
        <v>700000</v>
      </c>
      <c r="P35" s="64" t="s">
        <v>121</v>
      </c>
      <c r="Q35" s="65">
        <v>57841</v>
      </c>
    </row>
    <row r="36" spans="13:17" ht="15" x14ac:dyDescent="0.25">
      <c r="M36" s="35" t="s">
        <v>66</v>
      </c>
      <c r="N36" s="52">
        <v>114802</v>
      </c>
      <c r="P36" s="64" t="s">
        <v>122</v>
      </c>
      <c r="Q36" s="65">
        <v>171422</v>
      </c>
    </row>
    <row r="37" spans="13:17" ht="15" x14ac:dyDescent="0.25">
      <c r="M37" s="35" t="s">
        <v>67</v>
      </c>
      <c r="N37" s="52">
        <f>514083+30689+374291</f>
        <v>919063</v>
      </c>
      <c r="P37" s="64" t="s">
        <v>123</v>
      </c>
      <c r="Q37" s="65">
        <v>135486</v>
      </c>
    </row>
    <row r="38" spans="13:17" ht="15" x14ac:dyDescent="0.25">
      <c r="M38" s="35" t="s">
        <v>68</v>
      </c>
      <c r="N38" s="52">
        <f>16354+4200+23327+18930+38582</f>
        <v>101393</v>
      </c>
      <c r="P38" s="64" t="s">
        <v>124</v>
      </c>
      <c r="Q38" s="65">
        <v>111760</v>
      </c>
    </row>
    <row r="39" spans="13:17" ht="15" x14ac:dyDescent="0.25">
      <c r="M39" s="35" t="s">
        <v>69</v>
      </c>
      <c r="N39" s="52">
        <f>68432+6999</f>
        <v>75431</v>
      </c>
      <c r="P39" s="64" t="s">
        <v>125</v>
      </c>
      <c r="Q39" s="65">
        <v>17000</v>
      </c>
    </row>
    <row r="40" spans="13:17" ht="15" x14ac:dyDescent="0.25">
      <c r="M40" s="35" t="s">
        <v>70</v>
      </c>
      <c r="N40" s="52">
        <v>0</v>
      </c>
      <c r="P40" s="64" t="s">
        <v>126</v>
      </c>
      <c r="Q40" s="65">
        <v>281940</v>
      </c>
    </row>
    <row r="41" spans="13:17" ht="15" x14ac:dyDescent="0.25">
      <c r="M41" s="35" t="s">
        <v>71</v>
      </c>
      <c r="N41" s="52">
        <v>100000</v>
      </c>
      <c r="P41" s="64" t="s">
        <v>127</v>
      </c>
      <c r="Q41" s="64"/>
    </row>
    <row r="42" spans="13:17" ht="15" x14ac:dyDescent="0.25">
      <c r="M42" s="35" t="s">
        <v>72</v>
      </c>
      <c r="N42" s="52">
        <f>37988+50965</f>
        <v>88953</v>
      </c>
      <c r="P42" s="64" t="s">
        <v>128</v>
      </c>
      <c r="Q42" s="67">
        <f>SUM(Q27:Q41)</f>
        <v>5130878</v>
      </c>
    </row>
    <row r="43" spans="13:17" ht="15" x14ac:dyDescent="0.25">
      <c r="M43" s="35" t="s">
        <v>73</v>
      </c>
      <c r="N43" s="52">
        <f>106680+76200</f>
        <v>182880</v>
      </c>
      <c r="P43" s="60"/>
      <c r="Q43" s="60"/>
    </row>
    <row r="44" spans="13:17" ht="15" x14ac:dyDescent="0.25">
      <c r="M44" s="35" t="s">
        <v>74</v>
      </c>
      <c r="N44" s="53"/>
      <c r="P44" s="64" t="s">
        <v>129</v>
      </c>
      <c r="Q44" s="64"/>
    </row>
    <row r="45" spans="13:17" ht="15" x14ac:dyDescent="0.25">
      <c r="M45" s="33" t="s">
        <v>75</v>
      </c>
      <c r="N45" s="57">
        <f>SUM(N34:N44)</f>
        <v>2882522</v>
      </c>
      <c r="P45" s="64" t="s">
        <v>130</v>
      </c>
      <c r="Q45" s="65">
        <v>10000</v>
      </c>
    </row>
    <row r="46" spans="13:17" ht="15" x14ac:dyDescent="0.25">
      <c r="M46" s="33"/>
      <c r="N46" s="53"/>
      <c r="P46" s="64" t="s">
        <v>131</v>
      </c>
      <c r="Q46" s="65">
        <v>500455</v>
      </c>
    </row>
    <row r="47" spans="13:17" ht="15" x14ac:dyDescent="0.25">
      <c r="M47" s="33" t="s">
        <v>87</v>
      </c>
      <c r="N47" s="53"/>
      <c r="P47" s="64" t="s">
        <v>132</v>
      </c>
      <c r="Q47" s="65">
        <v>0</v>
      </c>
    </row>
    <row r="48" spans="13:17" ht="64.5" customHeight="1" x14ac:dyDescent="0.25">
      <c r="M48" s="38" t="s">
        <v>80</v>
      </c>
      <c r="N48" s="54">
        <f>25119+3149+147660+91440+268846+73829+16300+19576+22883+1758+194032+81232+1341120+15690+192131+87630+4800+116265-49791</f>
        <v>2653669</v>
      </c>
      <c r="P48" s="64" t="s">
        <v>133</v>
      </c>
      <c r="Q48" s="65">
        <v>640000</v>
      </c>
    </row>
    <row r="49" spans="13:17" ht="18" customHeight="1" x14ac:dyDescent="0.25">
      <c r="M49" s="38" t="s">
        <v>81</v>
      </c>
      <c r="N49" s="52">
        <f>987+49071</f>
        <v>50058</v>
      </c>
      <c r="P49" s="64" t="s">
        <v>134</v>
      </c>
      <c r="Q49" s="67">
        <f>SUM(Q45:Q48)</f>
        <v>1150455</v>
      </c>
    </row>
    <row r="50" spans="13:17" ht="15" x14ac:dyDescent="0.25">
      <c r="M50" s="35" t="s">
        <v>82</v>
      </c>
      <c r="N50" s="52">
        <f>5000+1203+14100+1900+47600+5732</f>
        <v>75535</v>
      </c>
      <c r="P50" s="60"/>
      <c r="Q50" s="60"/>
    </row>
    <row r="51" spans="13:17" ht="15" x14ac:dyDescent="0.25">
      <c r="M51" s="35" t="s">
        <v>88</v>
      </c>
      <c r="N51" s="52">
        <v>28294</v>
      </c>
      <c r="P51" s="64" t="s">
        <v>135</v>
      </c>
      <c r="Q51" s="68">
        <f>Q49+Q42+Q24+Q11</f>
        <v>34132928</v>
      </c>
    </row>
    <row r="52" spans="13:17" ht="15" x14ac:dyDescent="0.25">
      <c r="M52" s="33" t="s">
        <v>85</v>
      </c>
      <c r="N52" s="57">
        <f>SUM(N48:N51)</f>
        <v>2807556</v>
      </c>
      <c r="P52" s="60"/>
      <c r="Q52" s="60"/>
    </row>
    <row r="53" spans="13:17" ht="18.75" x14ac:dyDescent="0.3">
      <c r="M53" s="48" t="s">
        <v>86</v>
      </c>
      <c r="N53" s="58">
        <f>SUM(N16+N31+N45+N52)</f>
        <v>18963006</v>
      </c>
      <c r="P53" s="64" t="s">
        <v>136</v>
      </c>
      <c r="Q53" s="64"/>
    </row>
    <row r="54" spans="13:17" ht="15" x14ac:dyDescent="0.25">
      <c r="N54" s="59"/>
      <c r="P54" s="64" t="s">
        <v>137</v>
      </c>
      <c r="Q54" s="69">
        <v>2800000</v>
      </c>
    </row>
    <row r="55" spans="13:17" ht="15" x14ac:dyDescent="0.25">
      <c r="N55" s="59"/>
      <c r="P55" s="64" t="s">
        <v>138</v>
      </c>
      <c r="Q55" s="69"/>
    </row>
    <row r="56" spans="13:17" ht="15" x14ac:dyDescent="0.25">
      <c r="P56" s="70"/>
      <c r="Q56" s="71"/>
    </row>
    <row r="57" spans="13:17" ht="15" x14ac:dyDescent="0.25">
      <c r="P57" s="13" t="s">
        <v>139</v>
      </c>
      <c r="Q57" s="72">
        <f>SUM(Q51:Q56)</f>
        <v>36932928</v>
      </c>
    </row>
    <row r="58" spans="13:17" ht="15" x14ac:dyDescent="0.25">
      <c r="P58" s="13" t="s">
        <v>140</v>
      </c>
      <c r="Q58" s="72">
        <f>Q70-Q57</f>
        <v>8021072</v>
      </c>
    </row>
    <row r="59" spans="13:17" ht="15" x14ac:dyDescent="0.25">
      <c r="P59" s="73" t="s">
        <v>141</v>
      </c>
      <c r="Q59" s="74">
        <f>SUM(Q57:Q58)</f>
        <v>44954000</v>
      </c>
    </row>
    <row r="60" spans="13:17" ht="15.75" thickBot="1" x14ac:dyDescent="0.3">
      <c r="P60" s="60"/>
      <c r="Q60" s="60"/>
    </row>
    <row r="61" spans="13:17" ht="15" x14ac:dyDescent="0.25">
      <c r="P61" s="75" t="s">
        <v>142</v>
      </c>
      <c r="Q61" s="76" t="s">
        <v>143</v>
      </c>
    </row>
    <row r="62" spans="13:17" ht="15" x14ac:dyDescent="0.25">
      <c r="P62" s="64" t="s">
        <v>144</v>
      </c>
      <c r="Q62" s="69">
        <v>33900000</v>
      </c>
    </row>
    <row r="63" spans="13:17" ht="15" x14ac:dyDescent="0.25">
      <c r="P63" s="64" t="s">
        <v>145</v>
      </c>
      <c r="Q63" s="69">
        <v>4850000</v>
      </c>
    </row>
    <row r="64" spans="13:17" ht="15" x14ac:dyDescent="0.25">
      <c r="P64" s="64" t="s">
        <v>146</v>
      </c>
      <c r="Q64" s="69">
        <v>5282000</v>
      </c>
    </row>
    <row r="65" spans="16:17" ht="15" x14ac:dyDescent="0.25">
      <c r="P65" s="64" t="s">
        <v>147</v>
      </c>
      <c r="Q65" s="69">
        <v>22000</v>
      </c>
    </row>
    <row r="66" spans="16:17" ht="15" x14ac:dyDescent="0.25">
      <c r="P66" s="64" t="s">
        <v>148</v>
      </c>
      <c r="Q66" s="77">
        <f>SUM(Q62:Q65)</f>
        <v>44054000</v>
      </c>
    </row>
    <row r="67" spans="16:17" ht="15" x14ac:dyDescent="0.25">
      <c r="P67" s="64" t="s">
        <v>149</v>
      </c>
      <c r="Q67" s="69">
        <v>640000</v>
      </c>
    </row>
    <row r="68" spans="16:17" ht="15" x14ac:dyDescent="0.25">
      <c r="P68" s="64" t="s">
        <v>150</v>
      </c>
      <c r="Q68" s="78">
        <v>260000</v>
      </c>
    </row>
    <row r="69" spans="16:17" ht="15" x14ac:dyDescent="0.25">
      <c r="P69" s="70"/>
      <c r="Q69" s="70"/>
    </row>
    <row r="70" spans="16:17" ht="15" x14ac:dyDescent="0.25">
      <c r="P70" s="13" t="s">
        <v>151</v>
      </c>
      <c r="Q70" s="79">
        <f>SUM(Q66:Q68)</f>
        <v>44954000</v>
      </c>
    </row>
  </sheetData>
  <mergeCells count="2">
    <mergeCell ref="M1:N1"/>
    <mergeCell ref="P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opLeftCell="C1" workbookViewId="0">
      <selection activeCell="H27" sqref="H27"/>
    </sheetView>
  </sheetViews>
  <sheetFormatPr defaultRowHeight="12.75" x14ac:dyDescent="0.2"/>
  <cols>
    <col min="2" max="2" width="24.42578125" customWidth="1"/>
    <col min="3" max="3" width="26.140625" customWidth="1"/>
    <col min="4" max="4" width="17.28515625" customWidth="1"/>
    <col min="5" max="5" width="14" customWidth="1"/>
    <col min="6" max="6" width="13.28515625" customWidth="1"/>
    <col min="7" max="7" width="11.5703125" customWidth="1"/>
    <col min="8" max="8" width="9.7109375" customWidth="1"/>
    <col min="9" max="9" width="9.5703125" customWidth="1"/>
    <col min="10" max="10" width="17.42578125" customWidth="1"/>
    <col min="13" max="13" width="30.7109375" customWidth="1"/>
    <col min="14" max="14" width="24.42578125" customWidth="1"/>
    <col min="16" max="16" width="31" customWidth="1"/>
    <col min="17" max="17" width="24.28515625" customWidth="1"/>
  </cols>
  <sheetData>
    <row r="1" spans="1:17" ht="21" x14ac:dyDescent="0.3">
      <c r="A1" s="2" t="s">
        <v>35</v>
      </c>
      <c r="B1" s="2"/>
      <c r="C1" s="1"/>
      <c r="D1" s="1"/>
      <c r="E1" s="1"/>
      <c r="F1" s="1"/>
      <c r="G1" s="1"/>
      <c r="H1" s="1"/>
      <c r="I1" s="1"/>
      <c r="J1" s="1"/>
      <c r="M1" s="80" t="s">
        <v>152</v>
      </c>
      <c r="N1" s="80"/>
      <c r="P1" s="81" t="s">
        <v>153</v>
      </c>
      <c r="Q1" s="81"/>
    </row>
    <row r="2" spans="1:17" ht="21.75" thickBot="1" x14ac:dyDescent="0.4">
      <c r="A2" s="2"/>
      <c r="B2" s="2"/>
      <c r="C2" s="1"/>
      <c r="D2" s="1"/>
      <c r="E2" s="1"/>
      <c r="F2" s="1"/>
      <c r="G2" s="1"/>
      <c r="H2" s="1"/>
      <c r="I2" s="1"/>
      <c r="J2" s="1"/>
      <c r="M2" s="31"/>
      <c r="N2" s="32" t="s">
        <v>37</v>
      </c>
      <c r="P2" s="60"/>
      <c r="Q2" s="60"/>
    </row>
    <row r="3" spans="1:17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M3" s="33" t="s">
        <v>38</v>
      </c>
      <c r="N3" s="34"/>
      <c r="P3" s="61" t="s">
        <v>90</v>
      </c>
      <c r="Q3" s="62" t="s">
        <v>91</v>
      </c>
    </row>
    <row r="4" spans="1:17" ht="75.75" thickBot="1" x14ac:dyDescent="0.3">
      <c r="A4" s="4" t="s">
        <v>28</v>
      </c>
      <c r="B4" s="4" t="s">
        <v>27</v>
      </c>
      <c r="C4" s="6" t="s">
        <v>4</v>
      </c>
      <c r="D4" s="6" t="s">
        <v>5</v>
      </c>
      <c r="E4" s="6" t="s">
        <v>8</v>
      </c>
      <c r="F4" s="22" t="s">
        <v>6</v>
      </c>
      <c r="G4" s="6" t="s">
        <v>26</v>
      </c>
      <c r="H4" s="22" t="s">
        <v>29</v>
      </c>
      <c r="I4" s="25" t="s">
        <v>30</v>
      </c>
      <c r="J4" s="28" t="s">
        <v>31</v>
      </c>
      <c r="M4" s="35" t="s">
        <v>39</v>
      </c>
      <c r="N4" s="36">
        <v>645914</v>
      </c>
      <c r="P4" s="63" t="s">
        <v>92</v>
      </c>
      <c r="Q4" s="63"/>
    </row>
    <row r="5" spans="1:17" ht="15.75" thickBot="1" x14ac:dyDescent="0.3">
      <c r="A5" s="3"/>
      <c r="B5" s="4"/>
      <c r="C5" s="6"/>
      <c r="D5" s="17">
        <v>0.19500000000000001</v>
      </c>
      <c r="E5" s="5"/>
      <c r="F5" s="18">
        <f>1.18*(0.14+0.15)</f>
        <v>0.3422</v>
      </c>
      <c r="G5" s="5"/>
      <c r="H5" s="18"/>
      <c r="I5" s="26">
        <v>0.19500000000000001</v>
      </c>
      <c r="J5" s="12"/>
      <c r="M5" s="35" t="s">
        <v>40</v>
      </c>
      <c r="N5" s="37">
        <f>7155+726993+113385+340751</f>
        <v>1188284</v>
      </c>
      <c r="P5" s="64" t="s">
        <v>93</v>
      </c>
      <c r="Q5" s="65">
        <v>7512260</v>
      </c>
    </row>
    <row r="6" spans="1:17" ht="15" x14ac:dyDescent="0.25">
      <c r="A6" s="10"/>
      <c r="B6" s="11" t="s">
        <v>34</v>
      </c>
      <c r="C6" s="13"/>
      <c r="D6" s="9"/>
      <c r="E6" s="12"/>
      <c r="F6" s="24"/>
      <c r="G6" s="12"/>
      <c r="H6" s="24"/>
      <c r="I6" s="27"/>
      <c r="J6" s="14">
        <f t="shared" ref="J6:J27" si="0">SUM(C6:I6)</f>
        <v>0</v>
      </c>
      <c r="M6" s="35" t="s">
        <v>41</v>
      </c>
      <c r="N6" s="37">
        <v>21398</v>
      </c>
      <c r="P6" s="64" t="s">
        <v>94</v>
      </c>
      <c r="Q6" s="65">
        <v>1464891</v>
      </c>
    </row>
    <row r="7" spans="1:17" ht="17.25" customHeight="1" x14ac:dyDescent="0.25">
      <c r="A7" s="10">
        <v>1</v>
      </c>
      <c r="B7" s="19" t="s">
        <v>12</v>
      </c>
      <c r="C7" s="15">
        <v>180500</v>
      </c>
      <c r="D7" s="9">
        <f t="shared" ref="D7:D28" si="1">C7*$D$5</f>
        <v>35197.5</v>
      </c>
      <c r="E7" s="14">
        <v>8000</v>
      </c>
      <c r="F7" s="24">
        <f>$F$5*E7</f>
        <v>2737.6</v>
      </c>
      <c r="G7" s="14"/>
      <c r="H7" s="24"/>
      <c r="I7" s="27"/>
      <c r="J7" s="14">
        <f>SUM(C7:I7)</f>
        <v>226435.1</v>
      </c>
      <c r="M7" s="38" t="s">
        <v>42</v>
      </c>
      <c r="N7" s="37">
        <f>5000+183308+35269+35794</f>
        <v>259371</v>
      </c>
      <c r="P7" s="64" t="s">
        <v>95</v>
      </c>
      <c r="Q7" s="64">
        <v>0</v>
      </c>
    </row>
    <row r="8" spans="1:17" ht="15" x14ac:dyDescent="0.25">
      <c r="A8" s="10"/>
      <c r="B8" s="11" t="s">
        <v>33</v>
      </c>
      <c r="C8" s="13"/>
      <c r="D8" s="9"/>
      <c r="E8" s="12"/>
      <c r="F8" s="24"/>
      <c r="G8" s="12"/>
      <c r="H8" s="24"/>
      <c r="I8" s="27"/>
      <c r="J8" s="14">
        <f t="shared" si="0"/>
        <v>0</v>
      </c>
      <c r="M8" s="35" t="s">
        <v>43</v>
      </c>
      <c r="N8" s="37">
        <f>52121</f>
        <v>52121</v>
      </c>
      <c r="P8" s="64" t="s">
        <v>96</v>
      </c>
      <c r="Q8" s="66">
        <f>325600+65698+57622</f>
        <v>448920</v>
      </c>
    </row>
    <row r="9" spans="1:17" ht="15" x14ac:dyDescent="0.25">
      <c r="A9" s="10">
        <v>2</v>
      </c>
      <c r="B9" s="20" t="s">
        <v>13</v>
      </c>
      <c r="C9" s="15">
        <v>180500</v>
      </c>
      <c r="D9" s="9">
        <f t="shared" si="1"/>
        <v>35197.5</v>
      </c>
      <c r="E9" s="14">
        <v>8000</v>
      </c>
      <c r="F9" s="24">
        <f t="shared" ref="F9:F28" si="2">$F$5*E9</f>
        <v>2737.6</v>
      </c>
      <c r="G9" s="14"/>
      <c r="H9" s="24"/>
      <c r="I9" s="27"/>
      <c r="J9" s="14">
        <f t="shared" si="0"/>
        <v>226435.1</v>
      </c>
      <c r="M9" s="35" t="s">
        <v>44</v>
      </c>
      <c r="N9" s="37">
        <v>331620</v>
      </c>
      <c r="P9" s="64" t="s">
        <v>97</v>
      </c>
      <c r="Q9" s="66">
        <v>23456</v>
      </c>
    </row>
    <row r="10" spans="1:17" ht="15" x14ac:dyDescent="0.25">
      <c r="A10" s="10"/>
      <c r="B10" s="11" t="s">
        <v>32</v>
      </c>
      <c r="C10" s="13"/>
      <c r="D10" s="9"/>
      <c r="E10" s="12"/>
      <c r="F10" s="24"/>
      <c r="G10" s="12"/>
      <c r="H10" s="24"/>
      <c r="I10" s="27"/>
      <c r="J10" s="14">
        <f t="shared" si="0"/>
        <v>0</v>
      </c>
      <c r="M10" s="35" t="s">
        <v>45</v>
      </c>
      <c r="N10" s="37">
        <v>116100</v>
      </c>
      <c r="P10" s="64" t="s">
        <v>98</v>
      </c>
      <c r="Q10" s="65">
        <v>530000</v>
      </c>
    </row>
    <row r="11" spans="1:17" ht="15" x14ac:dyDescent="0.25">
      <c r="A11" s="10">
        <v>3</v>
      </c>
      <c r="B11" s="19" t="s">
        <v>14</v>
      </c>
      <c r="C11" s="15">
        <v>300000</v>
      </c>
      <c r="D11" s="9">
        <f t="shared" si="1"/>
        <v>58500</v>
      </c>
      <c r="E11" s="14">
        <v>8000</v>
      </c>
      <c r="F11" s="24">
        <f t="shared" si="2"/>
        <v>2737.6</v>
      </c>
      <c r="G11" s="14">
        <v>46864</v>
      </c>
      <c r="H11" s="24"/>
      <c r="I11" s="27"/>
      <c r="J11" s="14">
        <f t="shared" si="0"/>
        <v>416101.6</v>
      </c>
      <c r="M11" s="35" t="s">
        <v>46</v>
      </c>
      <c r="N11" s="37"/>
      <c r="P11" s="64" t="s">
        <v>99</v>
      </c>
      <c r="Q11" s="67">
        <f>SUM(Q5:Q10)</f>
        <v>9979527</v>
      </c>
    </row>
    <row r="12" spans="1:17" ht="15" x14ac:dyDescent="0.25">
      <c r="A12" s="10">
        <v>3</v>
      </c>
      <c r="B12" s="20" t="s">
        <v>15</v>
      </c>
      <c r="C12" s="15">
        <v>138000</v>
      </c>
      <c r="D12" s="9">
        <f t="shared" si="1"/>
        <v>26910</v>
      </c>
      <c r="E12" s="14">
        <v>8000</v>
      </c>
      <c r="F12" s="24">
        <f t="shared" si="2"/>
        <v>2737.6</v>
      </c>
      <c r="G12" s="14"/>
      <c r="H12" s="24"/>
      <c r="I12" s="27"/>
      <c r="J12" s="14">
        <f t="shared" si="0"/>
        <v>175647.6</v>
      </c>
      <c r="M12" s="35" t="s">
        <v>47</v>
      </c>
      <c r="N12" s="37">
        <v>0</v>
      </c>
      <c r="P12" s="60"/>
      <c r="Q12" s="60"/>
    </row>
    <row r="13" spans="1:17" ht="15" x14ac:dyDescent="0.25">
      <c r="A13" s="10">
        <v>5</v>
      </c>
      <c r="B13" s="19" t="s">
        <v>19</v>
      </c>
      <c r="C13" s="15">
        <v>180500</v>
      </c>
      <c r="D13" s="9">
        <f t="shared" si="1"/>
        <v>35197.5</v>
      </c>
      <c r="E13" s="14">
        <v>8000</v>
      </c>
      <c r="F13" s="24">
        <f t="shared" si="2"/>
        <v>2737.6</v>
      </c>
      <c r="G13" s="14"/>
      <c r="H13" s="24">
        <v>5000</v>
      </c>
      <c r="I13" s="27">
        <f>H13*$I$5</f>
        <v>975</v>
      </c>
      <c r="J13" s="14">
        <f t="shared" si="0"/>
        <v>232410.1</v>
      </c>
      <c r="M13" s="35" t="s">
        <v>48</v>
      </c>
      <c r="N13" s="37">
        <f>19050+265580</f>
        <v>284630</v>
      </c>
      <c r="P13" s="64" t="s">
        <v>100</v>
      </c>
      <c r="Q13" s="64"/>
    </row>
    <row r="14" spans="1:17" ht="15" x14ac:dyDescent="0.25">
      <c r="A14" s="10">
        <v>6</v>
      </c>
      <c r="B14" s="19" t="s">
        <v>20</v>
      </c>
      <c r="C14" s="15">
        <v>180500</v>
      </c>
      <c r="D14" s="9">
        <f t="shared" si="1"/>
        <v>35197.5</v>
      </c>
      <c r="E14" s="14">
        <v>8000</v>
      </c>
      <c r="F14" s="24">
        <f t="shared" si="2"/>
        <v>2737.6</v>
      </c>
      <c r="G14" s="14"/>
      <c r="H14" s="24">
        <v>5000</v>
      </c>
      <c r="I14" s="27">
        <f t="shared" ref="I14:I26" si="3">H14*$I$5</f>
        <v>975</v>
      </c>
      <c r="J14" s="14">
        <f t="shared" si="0"/>
        <v>232410.1</v>
      </c>
      <c r="M14" s="35" t="s">
        <v>49</v>
      </c>
      <c r="N14" s="37">
        <v>0</v>
      </c>
      <c r="P14" s="64" t="s">
        <v>101</v>
      </c>
      <c r="Q14" s="65">
        <v>4196</v>
      </c>
    </row>
    <row r="15" spans="1:17" ht="15" x14ac:dyDescent="0.25">
      <c r="A15" s="10">
        <v>7</v>
      </c>
      <c r="B15" s="19" t="s">
        <v>20</v>
      </c>
      <c r="C15" s="15">
        <v>180500</v>
      </c>
      <c r="D15" s="9">
        <f t="shared" si="1"/>
        <v>35197.5</v>
      </c>
      <c r="E15" s="14">
        <v>8000</v>
      </c>
      <c r="F15" s="24">
        <f t="shared" si="2"/>
        <v>2737.6</v>
      </c>
      <c r="G15" s="14"/>
      <c r="H15" s="24">
        <v>5000</v>
      </c>
      <c r="I15" s="27">
        <f t="shared" si="3"/>
        <v>975</v>
      </c>
      <c r="J15" s="14">
        <f t="shared" si="0"/>
        <v>232410.1</v>
      </c>
      <c r="M15" s="35" t="s">
        <v>50</v>
      </c>
      <c r="N15" s="34">
        <v>0</v>
      </c>
      <c r="P15" s="64" t="s">
        <v>102</v>
      </c>
      <c r="Q15" s="65">
        <v>9778</v>
      </c>
    </row>
    <row r="16" spans="1:17" ht="15" x14ac:dyDescent="0.25">
      <c r="A16" s="10">
        <v>8</v>
      </c>
      <c r="B16" s="19" t="s">
        <v>21</v>
      </c>
      <c r="C16" s="15">
        <v>180500</v>
      </c>
      <c r="D16" s="9">
        <f t="shared" si="1"/>
        <v>35197.5</v>
      </c>
      <c r="E16" s="14">
        <v>8000</v>
      </c>
      <c r="F16" s="24">
        <f t="shared" si="2"/>
        <v>2737.6</v>
      </c>
      <c r="G16" s="14"/>
      <c r="H16" s="24">
        <v>5000</v>
      </c>
      <c r="I16" s="27">
        <f t="shared" si="3"/>
        <v>975</v>
      </c>
      <c r="J16" s="14">
        <f t="shared" si="0"/>
        <v>232410.1</v>
      </c>
      <c r="M16" s="33" t="s">
        <v>51</v>
      </c>
      <c r="N16" s="39">
        <f>SUM(N4:N15)</f>
        <v>2899438</v>
      </c>
      <c r="P16" s="64" t="s">
        <v>103</v>
      </c>
      <c r="Q16" s="65">
        <v>2000000</v>
      </c>
    </row>
    <row r="17" spans="1:17" ht="15" x14ac:dyDescent="0.25">
      <c r="A17" s="10">
        <v>19</v>
      </c>
      <c r="B17" s="20" t="s">
        <v>22</v>
      </c>
      <c r="C17" s="15">
        <v>180500</v>
      </c>
      <c r="D17" s="9">
        <f t="shared" si="1"/>
        <v>35197.5</v>
      </c>
      <c r="E17" s="14">
        <v>8000</v>
      </c>
      <c r="F17" s="24">
        <f t="shared" si="2"/>
        <v>2737.6</v>
      </c>
      <c r="G17" s="14"/>
      <c r="H17" s="24">
        <v>5000</v>
      </c>
      <c r="I17" s="27">
        <f t="shared" si="3"/>
        <v>975</v>
      </c>
      <c r="J17" s="14">
        <f t="shared" si="0"/>
        <v>232410.1</v>
      </c>
      <c r="M17" s="33"/>
      <c r="N17" s="34"/>
      <c r="P17" s="64" t="s">
        <v>104</v>
      </c>
      <c r="Q17" s="65">
        <v>107986</v>
      </c>
    </row>
    <row r="18" spans="1:17" ht="15" x14ac:dyDescent="0.25">
      <c r="A18" s="10">
        <v>10</v>
      </c>
      <c r="B18" s="19" t="s">
        <v>23</v>
      </c>
      <c r="C18" s="15">
        <v>180500</v>
      </c>
      <c r="D18" s="9">
        <f t="shared" si="1"/>
        <v>35197.5</v>
      </c>
      <c r="E18" s="14">
        <v>8000</v>
      </c>
      <c r="F18" s="24">
        <f t="shared" si="2"/>
        <v>2737.6</v>
      </c>
      <c r="G18" s="14"/>
      <c r="H18" s="24">
        <v>5000</v>
      </c>
      <c r="I18" s="27">
        <f t="shared" si="3"/>
        <v>975</v>
      </c>
      <c r="J18" s="14">
        <f t="shared" si="0"/>
        <v>232410.1</v>
      </c>
      <c r="M18" s="35" t="s">
        <v>52</v>
      </c>
      <c r="N18" s="37">
        <f>2921996+886094+212984</f>
        <v>4021074</v>
      </c>
      <c r="P18" s="64" t="s">
        <v>105</v>
      </c>
      <c r="Q18" s="65">
        <v>188157</v>
      </c>
    </row>
    <row r="19" spans="1:17" ht="15" x14ac:dyDescent="0.25">
      <c r="A19" s="10">
        <v>11</v>
      </c>
      <c r="B19" s="19" t="s">
        <v>23</v>
      </c>
      <c r="C19" s="15">
        <v>180500</v>
      </c>
      <c r="D19" s="9">
        <f t="shared" si="1"/>
        <v>35197.5</v>
      </c>
      <c r="E19" s="14">
        <v>8000</v>
      </c>
      <c r="F19" s="24">
        <f t="shared" si="2"/>
        <v>2737.6</v>
      </c>
      <c r="G19" s="14"/>
      <c r="H19" s="24">
        <v>5000</v>
      </c>
      <c r="I19" s="27">
        <f t="shared" si="3"/>
        <v>975</v>
      </c>
      <c r="J19" s="14">
        <f t="shared" si="0"/>
        <v>232410.1</v>
      </c>
      <c r="M19" s="35" t="s">
        <v>41</v>
      </c>
      <c r="N19" s="37">
        <v>623802</v>
      </c>
      <c r="P19" s="64" t="s">
        <v>106</v>
      </c>
      <c r="Q19" s="65">
        <v>99289</v>
      </c>
    </row>
    <row r="20" spans="1:17" ht="15" x14ac:dyDescent="0.25">
      <c r="A20" s="10">
        <v>12</v>
      </c>
      <c r="B20" s="19" t="s">
        <v>16</v>
      </c>
      <c r="C20" s="15">
        <v>180500</v>
      </c>
      <c r="D20" s="9">
        <f t="shared" si="1"/>
        <v>35197.5</v>
      </c>
      <c r="E20" s="14">
        <v>8000</v>
      </c>
      <c r="F20" s="24">
        <f t="shared" si="2"/>
        <v>2737.6</v>
      </c>
      <c r="G20" s="14"/>
      <c r="H20" s="24">
        <v>5000</v>
      </c>
      <c r="I20" s="27">
        <f t="shared" si="3"/>
        <v>975</v>
      </c>
      <c r="J20" s="14">
        <f t="shared" si="0"/>
        <v>232410.1</v>
      </c>
      <c r="M20" s="35" t="s">
        <v>53</v>
      </c>
      <c r="N20" s="37">
        <f>128570+78177+30488</f>
        <v>237235</v>
      </c>
      <c r="P20" s="64" t="s">
        <v>107</v>
      </c>
      <c r="Q20" s="65">
        <v>12662</v>
      </c>
    </row>
    <row r="21" spans="1:17" ht="43.5" customHeight="1" x14ac:dyDescent="0.25">
      <c r="A21" s="10">
        <v>13</v>
      </c>
      <c r="B21" s="19" t="s">
        <v>25</v>
      </c>
      <c r="C21" s="15">
        <v>180500</v>
      </c>
      <c r="D21" s="9">
        <f t="shared" si="1"/>
        <v>35197.5</v>
      </c>
      <c r="E21" s="14">
        <v>8000</v>
      </c>
      <c r="F21" s="24">
        <f t="shared" si="2"/>
        <v>2737.6</v>
      </c>
      <c r="G21" s="14"/>
      <c r="H21" s="24">
        <v>20000</v>
      </c>
      <c r="I21" s="27">
        <f t="shared" si="3"/>
        <v>3900</v>
      </c>
      <c r="J21" s="14">
        <f t="shared" si="0"/>
        <v>250335.1</v>
      </c>
      <c r="M21" s="38" t="s">
        <v>54</v>
      </c>
      <c r="N21" s="41">
        <v>2109000</v>
      </c>
      <c r="P21" s="64" t="s">
        <v>108</v>
      </c>
      <c r="Q21" s="65">
        <v>8800000</v>
      </c>
    </row>
    <row r="22" spans="1:17" ht="23.25" customHeight="1" x14ac:dyDescent="0.25">
      <c r="A22" s="10">
        <v>14</v>
      </c>
      <c r="B22" s="19" t="s">
        <v>18</v>
      </c>
      <c r="C22" s="15">
        <v>138000</v>
      </c>
      <c r="D22" s="9">
        <f t="shared" si="1"/>
        <v>26910</v>
      </c>
      <c r="E22" s="14">
        <v>8000</v>
      </c>
      <c r="F22" s="24">
        <f t="shared" si="2"/>
        <v>2737.6</v>
      </c>
      <c r="G22" s="14"/>
      <c r="H22" s="24">
        <v>5000</v>
      </c>
      <c r="I22" s="27">
        <f t="shared" si="3"/>
        <v>975</v>
      </c>
      <c r="J22" s="14">
        <f t="shared" si="0"/>
        <v>181622.6</v>
      </c>
      <c r="M22" s="42" t="s">
        <v>55</v>
      </c>
      <c r="N22" s="43">
        <v>0</v>
      </c>
      <c r="P22" s="64" t="s">
        <v>109</v>
      </c>
      <c r="Q22" s="65">
        <v>3900000</v>
      </c>
    </row>
    <row r="23" spans="1:17" ht="15" x14ac:dyDescent="0.25">
      <c r="A23" s="10">
        <v>15</v>
      </c>
      <c r="B23" s="19" t="s">
        <v>15</v>
      </c>
      <c r="C23" s="15">
        <v>138000</v>
      </c>
      <c r="D23" s="9">
        <f t="shared" si="1"/>
        <v>26910</v>
      </c>
      <c r="E23" s="14">
        <v>8000</v>
      </c>
      <c r="F23" s="24">
        <f t="shared" si="2"/>
        <v>2737.6</v>
      </c>
      <c r="G23" s="14"/>
      <c r="H23" s="24"/>
      <c r="I23" s="27"/>
      <c r="J23" s="14">
        <f t="shared" si="0"/>
        <v>175647.6</v>
      </c>
      <c r="M23" s="35" t="s">
        <v>56</v>
      </c>
      <c r="N23" s="37">
        <f>212096+81332+9594</f>
        <v>303022</v>
      </c>
      <c r="P23" s="64" t="s">
        <v>110</v>
      </c>
      <c r="Q23" s="65">
        <v>2750000</v>
      </c>
    </row>
    <row r="24" spans="1:17" ht="15" x14ac:dyDescent="0.25">
      <c r="A24" s="10">
        <v>16</v>
      </c>
      <c r="B24" s="19" t="s">
        <v>24</v>
      </c>
      <c r="C24" s="15">
        <v>180500</v>
      </c>
      <c r="D24" s="9">
        <f t="shared" si="1"/>
        <v>35197.5</v>
      </c>
      <c r="E24" s="14">
        <v>8000</v>
      </c>
      <c r="F24" s="24">
        <f t="shared" si="2"/>
        <v>2737.6</v>
      </c>
      <c r="G24" s="14"/>
      <c r="H24" s="24">
        <v>20000</v>
      </c>
      <c r="I24" s="27">
        <f t="shared" si="3"/>
        <v>3900</v>
      </c>
      <c r="J24" s="14">
        <f t="shared" si="0"/>
        <v>250335.1</v>
      </c>
      <c r="M24" s="35" t="s">
        <v>46</v>
      </c>
      <c r="N24" s="37"/>
      <c r="P24" s="64" t="s">
        <v>111</v>
      </c>
      <c r="Q24" s="67">
        <f>SUM(Q14:Q23)</f>
        <v>17872068</v>
      </c>
    </row>
    <row r="25" spans="1:17" ht="15" x14ac:dyDescent="0.25">
      <c r="A25" s="10">
        <v>17</v>
      </c>
      <c r="B25" s="19" t="s">
        <v>16</v>
      </c>
      <c r="C25" s="15">
        <v>155000</v>
      </c>
      <c r="D25" s="9">
        <f t="shared" si="1"/>
        <v>30225</v>
      </c>
      <c r="E25" s="14">
        <v>8000</v>
      </c>
      <c r="F25" s="24">
        <f t="shared" si="2"/>
        <v>2737.6</v>
      </c>
      <c r="G25" s="14"/>
      <c r="H25" s="24">
        <v>5000</v>
      </c>
      <c r="I25" s="27">
        <f t="shared" si="3"/>
        <v>975</v>
      </c>
      <c r="J25" s="14">
        <f t="shared" si="0"/>
        <v>201937.6</v>
      </c>
      <c r="M25" s="35" t="s">
        <v>57</v>
      </c>
      <c r="N25" s="37">
        <v>927666</v>
      </c>
      <c r="P25" s="60"/>
      <c r="Q25" s="60"/>
    </row>
    <row r="26" spans="1:17" ht="15" x14ac:dyDescent="0.25">
      <c r="A26" s="10">
        <v>18</v>
      </c>
      <c r="B26" s="12" t="s">
        <v>17</v>
      </c>
      <c r="C26" s="15">
        <v>196000</v>
      </c>
      <c r="D26" s="9">
        <f t="shared" si="1"/>
        <v>38220</v>
      </c>
      <c r="E26" s="14">
        <v>8000</v>
      </c>
      <c r="F26" s="24">
        <f t="shared" si="2"/>
        <v>2737.6</v>
      </c>
      <c r="G26" s="14"/>
      <c r="H26" s="24">
        <v>5000</v>
      </c>
      <c r="I26" s="27">
        <f t="shared" si="3"/>
        <v>975</v>
      </c>
      <c r="J26" s="14">
        <f t="shared" si="0"/>
        <v>250932.6</v>
      </c>
      <c r="M26" s="35" t="s">
        <v>47</v>
      </c>
      <c r="N26" s="37">
        <v>554999</v>
      </c>
      <c r="P26" s="64" t="s">
        <v>112</v>
      </c>
      <c r="Q26" s="64"/>
    </row>
    <row r="27" spans="1:17" ht="15" x14ac:dyDescent="0.25">
      <c r="A27" s="10">
        <v>19</v>
      </c>
      <c r="B27" s="12" t="s">
        <v>10</v>
      </c>
      <c r="C27" s="15">
        <v>180500</v>
      </c>
      <c r="D27" s="9">
        <f t="shared" si="1"/>
        <v>35197.5</v>
      </c>
      <c r="E27" s="14">
        <v>8000</v>
      </c>
      <c r="F27" s="24">
        <f t="shared" si="2"/>
        <v>2737.6</v>
      </c>
      <c r="G27" s="14"/>
      <c r="H27" s="24"/>
      <c r="I27" s="27"/>
      <c r="J27" s="14">
        <f t="shared" si="0"/>
        <v>226435.1</v>
      </c>
      <c r="M27" s="35" t="s">
        <v>58</v>
      </c>
      <c r="N27" s="37">
        <v>32208</v>
      </c>
      <c r="P27" s="64" t="s">
        <v>113</v>
      </c>
      <c r="Q27" s="65">
        <v>216863</v>
      </c>
    </row>
    <row r="28" spans="1:17" ht="15" x14ac:dyDescent="0.25">
      <c r="A28" s="10">
        <v>20</v>
      </c>
      <c r="B28" s="12" t="s">
        <v>10</v>
      </c>
      <c r="C28" s="15">
        <v>180500</v>
      </c>
      <c r="D28" s="9">
        <f t="shared" si="1"/>
        <v>35197.5</v>
      </c>
      <c r="E28" s="14">
        <v>8000</v>
      </c>
      <c r="F28" s="24">
        <f t="shared" si="2"/>
        <v>2737.6</v>
      </c>
      <c r="G28" s="14"/>
      <c r="H28" s="24"/>
      <c r="I28" s="27"/>
      <c r="J28" s="14">
        <f>SUM(C28:I28)</f>
        <v>226435.1</v>
      </c>
      <c r="M28" s="35" t="s">
        <v>59</v>
      </c>
      <c r="N28" s="37">
        <f>54000+49943</f>
        <v>103943</v>
      </c>
      <c r="P28" s="64" t="s">
        <v>114</v>
      </c>
      <c r="Q28" s="65">
        <v>1200000</v>
      </c>
    </row>
    <row r="29" spans="1:17" ht="15" x14ac:dyDescent="0.25">
      <c r="A29" s="1"/>
      <c r="B29" s="1" t="s">
        <v>7</v>
      </c>
      <c r="C29" s="16">
        <f t="shared" ref="C29:J29" si="4">SUM(C6:C28)</f>
        <v>3592000</v>
      </c>
      <c r="D29" s="16">
        <f t="shared" si="4"/>
        <v>700440</v>
      </c>
      <c r="E29" s="16">
        <f t="shared" si="4"/>
        <v>160000</v>
      </c>
      <c r="F29" s="16">
        <f t="shared" si="4"/>
        <v>54751.999999999978</v>
      </c>
      <c r="G29" s="16">
        <f t="shared" si="4"/>
        <v>46864</v>
      </c>
      <c r="H29" s="16">
        <f t="shared" si="4"/>
        <v>95000</v>
      </c>
      <c r="I29" s="16">
        <f t="shared" si="4"/>
        <v>18525</v>
      </c>
      <c r="J29" s="16">
        <f t="shared" si="4"/>
        <v>4667581</v>
      </c>
      <c r="M29" s="35" t="s">
        <v>60</v>
      </c>
      <c r="N29" s="37">
        <f>1308813+6450+145278</f>
        <v>1460541</v>
      </c>
      <c r="P29" s="64" t="s">
        <v>115</v>
      </c>
      <c r="Q29" s="65">
        <v>1200000</v>
      </c>
    </row>
    <row r="30" spans="1:17" ht="15.75" x14ac:dyDescent="0.25">
      <c r="B30" s="82" t="s">
        <v>154</v>
      </c>
      <c r="J30" s="83">
        <f>J29*12</f>
        <v>56010972</v>
      </c>
      <c r="M30" s="35" t="s">
        <v>61</v>
      </c>
      <c r="N30" s="44"/>
      <c r="P30" s="64" t="s">
        <v>116</v>
      </c>
      <c r="Q30" s="65">
        <v>28696</v>
      </c>
    </row>
    <row r="31" spans="1:17" ht="15" x14ac:dyDescent="0.25">
      <c r="M31" s="33" t="s">
        <v>62</v>
      </c>
      <c r="N31" s="45">
        <f>SUM(N18:N30)</f>
        <v>10373490</v>
      </c>
      <c r="P31" s="64" t="s">
        <v>117</v>
      </c>
      <c r="Q31" s="65">
        <v>931000</v>
      </c>
    </row>
    <row r="32" spans="1:17" ht="15.75" x14ac:dyDescent="0.25">
      <c r="B32" s="29"/>
      <c r="C32" s="30"/>
      <c r="M32" s="33"/>
      <c r="N32" s="34"/>
      <c r="P32" s="64" t="s">
        <v>118</v>
      </c>
      <c r="Q32" s="65">
        <v>130000</v>
      </c>
    </row>
    <row r="33" spans="13:17" ht="15" x14ac:dyDescent="0.25">
      <c r="M33" s="33" t="s">
        <v>63</v>
      </c>
      <c r="N33" s="34"/>
      <c r="P33" s="64" t="s">
        <v>119</v>
      </c>
      <c r="Q33" s="65">
        <v>523140</v>
      </c>
    </row>
    <row r="34" spans="13:17" ht="15" x14ac:dyDescent="0.25">
      <c r="M34" s="35" t="s">
        <v>64</v>
      </c>
      <c r="N34" s="37">
        <v>600000</v>
      </c>
      <c r="P34" s="64" t="s">
        <v>120</v>
      </c>
      <c r="Q34" s="65">
        <v>125730</v>
      </c>
    </row>
    <row r="35" spans="13:17" ht="15" x14ac:dyDescent="0.25">
      <c r="M35" s="35" t="s">
        <v>65</v>
      </c>
      <c r="N35" s="37">
        <v>700000</v>
      </c>
      <c r="P35" s="64" t="s">
        <v>121</v>
      </c>
      <c r="Q35" s="65">
        <v>57841</v>
      </c>
    </row>
    <row r="36" spans="13:17" ht="15" x14ac:dyDescent="0.25">
      <c r="M36" s="35" t="s">
        <v>66</v>
      </c>
      <c r="N36" s="37">
        <v>114802</v>
      </c>
      <c r="P36" s="64" t="s">
        <v>122</v>
      </c>
      <c r="Q36" s="65">
        <v>171422</v>
      </c>
    </row>
    <row r="37" spans="13:17" ht="15" x14ac:dyDescent="0.25">
      <c r="M37" s="35" t="s">
        <v>67</v>
      </c>
      <c r="N37" s="37">
        <f>514083+30689+374291</f>
        <v>919063</v>
      </c>
      <c r="P37" s="64" t="s">
        <v>123</v>
      </c>
      <c r="Q37" s="65">
        <v>135486</v>
      </c>
    </row>
    <row r="38" spans="13:17" ht="15" x14ac:dyDescent="0.25">
      <c r="M38" s="35" t="s">
        <v>68</v>
      </c>
      <c r="N38" s="37">
        <f>16354+4200+23327+18930+38582</f>
        <v>101393</v>
      </c>
      <c r="P38" s="64" t="s">
        <v>124</v>
      </c>
      <c r="Q38" s="65">
        <v>111760</v>
      </c>
    </row>
    <row r="39" spans="13:17" ht="15" x14ac:dyDescent="0.25">
      <c r="M39" s="35" t="s">
        <v>69</v>
      </c>
      <c r="N39" s="37">
        <f>68432+6999</f>
        <v>75431</v>
      </c>
      <c r="P39" s="64" t="s">
        <v>125</v>
      </c>
      <c r="Q39" s="65">
        <v>17000</v>
      </c>
    </row>
    <row r="40" spans="13:17" ht="15" x14ac:dyDescent="0.25">
      <c r="M40" s="35" t="s">
        <v>70</v>
      </c>
      <c r="N40" s="37">
        <v>0</v>
      </c>
      <c r="P40" s="64" t="s">
        <v>126</v>
      </c>
      <c r="Q40" s="65">
        <v>281940</v>
      </c>
    </row>
    <row r="41" spans="13:17" ht="15" x14ac:dyDescent="0.25">
      <c r="M41" s="35" t="s">
        <v>71</v>
      </c>
      <c r="N41" s="37">
        <v>100000</v>
      </c>
      <c r="P41" s="64" t="s">
        <v>127</v>
      </c>
      <c r="Q41" s="64"/>
    </row>
    <row r="42" spans="13:17" ht="15" x14ac:dyDescent="0.25">
      <c r="M42" s="35" t="s">
        <v>72</v>
      </c>
      <c r="N42" s="37">
        <f>37988+50965</f>
        <v>88953</v>
      </c>
      <c r="P42" s="64" t="s">
        <v>128</v>
      </c>
      <c r="Q42" s="67">
        <f>SUM(Q27:Q41)</f>
        <v>5130878</v>
      </c>
    </row>
    <row r="43" spans="13:17" ht="15" x14ac:dyDescent="0.25">
      <c r="M43" s="35" t="s">
        <v>73</v>
      </c>
      <c r="N43" s="37">
        <f>106680+76200</f>
        <v>182880</v>
      </c>
      <c r="P43" s="60"/>
      <c r="Q43" s="60"/>
    </row>
    <row r="44" spans="13:17" ht="15" x14ac:dyDescent="0.25">
      <c r="M44" s="35" t="s">
        <v>74</v>
      </c>
      <c r="N44" s="34"/>
      <c r="P44" s="64" t="s">
        <v>129</v>
      </c>
      <c r="Q44" s="64"/>
    </row>
    <row r="45" spans="13:17" ht="15" x14ac:dyDescent="0.25">
      <c r="M45" s="33" t="s">
        <v>75</v>
      </c>
      <c r="N45" s="45">
        <f>SUM(N34:N44)</f>
        <v>2882522</v>
      </c>
      <c r="P45" s="64" t="s">
        <v>130</v>
      </c>
      <c r="Q45" s="65">
        <v>10000</v>
      </c>
    </row>
    <row r="46" spans="13:17" ht="15" x14ac:dyDescent="0.25">
      <c r="M46" s="33"/>
      <c r="N46" s="34"/>
      <c r="P46" s="64" t="s">
        <v>131</v>
      </c>
      <c r="Q46" s="65">
        <v>500455</v>
      </c>
    </row>
    <row r="47" spans="13:17" ht="15" x14ac:dyDescent="0.25">
      <c r="M47" s="33" t="s">
        <v>79</v>
      </c>
      <c r="N47" s="34"/>
      <c r="P47" s="64" t="s">
        <v>132</v>
      </c>
      <c r="Q47" s="65">
        <v>0</v>
      </c>
    </row>
    <row r="48" spans="13:17" ht="60" x14ac:dyDescent="0.25">
      <c r="M48" s="38" t="s">
        <v>80</v>
      </c>
      <c r="N48" s="40">
        <f>25119+3149+147660+91440+268846+73829+16300+19576+22883+1758+194032+81232+1341120+15690+192131+87630+4800+116265-49791</f>
        <v>2653669</v>
      </c>
      <c r="P48" s="64" t="s">
        <v>133</v>
      </c>
      <c r="Q48" s="65">
        <v>640000</v>
      </c>
    </row>
    <row r="49" spans="13:17" ht="15" x14ac:dyDescent="0.25">
      <c r="M49" s="38" t="s">
        <v>81</v>
      </c>
      <c r="N49" s="37">
        <f>987+49071</f>
        <v>50058</v>
      </c>
      <c r="P49" s="64" t="s">
        <v>134</v>
      </c>
      <c r="Q49" s="67">
        <f>SUM(Q45:Q48)</f>
        <v>1150455</v>
      </c>
    </row>
    <row r="50" spans="13:17" ht="15" x14ac:dyDescent="0.25">
      <c r="M50" s="35" t="s">
        <v>82</v>
      </c>
      <c r="N50" s="37">
        <f>5000+1203+14100+1900+47600+5732</f>
        <v>75535</v>
      </c>
      <c r="P50" s="60"/>
      <c r="Q50" s="60"/>
    </row>
    <row r="51" spans="13:17" ht="15" x14ac:dyDescent="0.25">
      <c r="M51" s="35" t="s">
        <v>83</v>
      </c>
      <c r="N51" s="37"/>
      <c r="P51" s="64" t="s">
        <v>135</v>
      </c>
      <c r="Q51" s="68">
        <f>Q49+Q42+Q24+Q11</f>
        <v>34132928</v>
      </c>
    </row>
    <row r="52" spans="13:17" ht="15" x14ac:dyDescent="0.25">
      <c r="M52" s="35" t="s">
        <v>84</v>
      </c>
      <c r="N52" s="37">
        <f>855+10200+8400+2646+6193</f>
        <v>28294</v>
      </c>
      <c r="P52" s="60"/>
      <c r="Q52" s="60"/>
    </row>
    <row r="53" spans="13:17" ht="15" x14ac:dyDescent="0.25">
      <c r="M53" s="33" t="s">
        <v>85</v>
      </c>
      <c r="N53" s="45">
        <f>SUM(N48:N52)</f>
        <v>2807556</v>
      </c>
      <c r="P53" s="64" t="s">
        <v>136</v>
      </c>
      <c r="Q53" s="64"/>
    </row>
    <row r="54" spans="13:17" ht="18.75" x14ac:dyDescent="0.3">
      <c r="M54" s="48" t="s">
        <v>86</v>
      </c>
      <c r="N54" s="49">
        <f>SUM(N16+N31+N45+N53)</f>
        <v>18963006</v>
      </c>
      <c r="P54" s="64" t="s">
        <v>137</v>
      </c>
      <c r="Q54" s="69">
        <v>2800000</v>
      </c>
    </row>
    <row r="55" spans="13:17" ht="15" x14ac:dyDescent="0.25">
      <c r="P55" s="64" t="s">
        <v>138</v>
      </c>
      <c r="Q55" s="69"/>
    </row>
    <row r="56" spans="13:17" ht="15" x14ac:dyDescent="0.25">
      <c r="P56" s="70"/>
      <c r="Q56" s="71"/>
    </row>
    <row r="57" spans="13:17" ht="15" x14ac:dyDescent="0.25">
      <c r="P57" s="13" t="s">
        <v>139</v>
      </c>
      <c r="Q57" s="72">
        <f>SUM(Q51:Q56)</f>
        <v>36932928</v>
      </c>
    </row>
    <row r="58" spans="13:17" ht="15" x14ac:dyDescent="0.25">
      <c r="P58" s="13" t="s">
        <v>140</v>
      </c>
      <c r="Q58" s="72">
        <f>Q70-Q57</f>
        <v>8021072</v>
      </c>
    </row>
    <row r="59" spans="13:17" ht="15" x14ac:dyDescent="0.25">
      <c r="P59" s="73" t="s">
        <v>141</v>
      </c>
      <c r="Q59" s="74">
        <f>SUM(Q57:Q58)</f>
        <v>44954000</v>
      </c>
    </row>
    <row r="60" spans="13:17" ht="15.75" thickBot="1" x14ac:dyDescent="0.3">
      <c r="P60" s="60"/>
      <c r="Q60" s="60"/>
    </row>
    <row r="61" spans="13:17" ht="15" x14ac:dyDescent="0.25">
      <c r="P61" s="75" t="s">
        <v>142</v>
      </c>
      <c r="Q61" s="76" t="s">
        <v>143</v>
      </c>
    </row>
    <row r="62" spans="13:17" ht="15" x14ac:dyDescent="0.25">
      <c r="P62" s="64" t="s">
        <v>144</v>
      </c>
      <c r="Q62" s="69">
        <v>33900000</v>
      </c>
    </row>
    <row r="63" spans="13:17" ht="15" x14ac:dyDescent="0.25">
      <c r="P63" s="64" t="s">
        <v>145</v>
      </c>
      <c r="Q63" s="69">
        <v>4850000</v>
      </c>
    </row>
    <row r="64" spans="13:17" ht="15" x14ac:dyDescent="0.25">
      <c r="P64" s="64" t="s">
        <v>146</v>
      </c>
      <c r="Q64" s="69">
        <v>5282000</v>
      </c>
    </row>
    <row r="65" spans="16:17" ht="15" x14ac:dyDescent="0.25">
      <c r="P65" s="64" t="s">
        <v>147</v>
      </c>
      <c r="Q65" s="69">
        <v>22000</v>
      </c>
    </row>
    <row r="66" spans="16:17" ht="15" x14ac:dyDescent="0.25">
      <c r="P66" s="64" t="s">
        <v>148</v>
      </c>
      <c r="Q66" s="77">
        <f>SUM(Q62:Q65)</f>
        <v>44054000</v>
      </c>
    </row>
    <row r="67" spans="16:17" ht="15" x14ac:dyDescent="0.25">
      <c r="P67" s="64" t="s">
        <v>149</v>
      </c>
      <c r="Q67" s="69">
        <v>640000</v>
      </c>
    </row>
    <row r="68" spans="16:17" ht="15" x14ac:dyDescent="0.25">
      <c r="P68" s="64" t="s">
        <v>150</v>
      </c>
      <c r="Q68" s="78">
        <v>260000</v>
      </c>
    </row>
    <row r="69" spans="16:17" ht="15" x14ac:dyDescent="0.25">
      <c r="P69" s="70"/>
      <c r="Q69" s="70"/>
    </row>
    <row r="70" spans="16:17" ht="15" x14ac:dyDescent="0.25">
      <c r="P70" s="13" t="s">
        <v>151</v>
      </c>
      <c r="Q70" s="79">
        <f>SUM(Q66:Q68)</f>
        <v>44954000</v>
      </c>
    </row>
  </sheetData>
  <mergeCells count="2">
    <mergeCell ref="M1:N1"/>
    <mergeCell ref="P1:Q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A8" sqref="A8:C8"/>
    </sheetView>
  </sheetViews>
  <sheetFormatPr defaultRowHeight="12.75" x14ac:dyDescent="0.2"/>
  <cols>
    <col min="1" max="1" width="52.7109375" customWidth="1"/>
    <col min="2" max="2" width="24.42578125" customWidth="1"/>
    <col min="3" max="3" width="28.42578125" customWidth="1"/>
    <col min="4" max="4" width="20.28515625" customWidth="1"/>
    <col min="5" max="5" width="19.28515625" customWidth="1"/>
  </cols>
  <sheetData>
    <row r="2" spans="1:5" ht="57.75" customHeight="1" x14ac:dyDescent="0.25">
      <c r="A2" s="85" t="s">
        <v>161</v>
      </c>
      <c r="B2" s="85"/>
      <c r="C2" s="85"/>
      <c r="D2" s="85"/>
      <c r="E2" s="85"/>
    </row>
    <row r="3" spans="1:5" ht="28.5" customHeight="1" x14ac:dyDescent="0.3">
      <c r="A3" s="86" t="s">
        <v>157</v>
      </c>
      <c r="B3" s="86" t="s">
        <v>158</v>
      </c>
      <c r="C3" s="86" t="s">
        <v>159</v>
      </c>
      <c r="D3" s="86" t="s">
        <v>34</v>
      </c>
      <c r="E3" s="86" t="s">
        <v>160</v>
      </c>
    </row>
    <row r="4" spans="1:5" ht="34.5" customHeight="1" x14ac:dyDescent="0.25">
      <c r="A4" s="87" t="s">
        <v>0</v>
      </c>
      <c r="B4" s="88">
        <v>63093211</v>
      </c>
      <c r="C4" s="89">
        <v>19063006</v>
      </c>
      <c r="D4" s="90">
        <v>44954000</v>
      </c>
      <c r="E4" s="91">
        <f>SUM(B4:D4)</f>
        <v>127110217</v>
      </c>
    </row>
    <row r="5" spans="1:5" ht="34.5" customHeight="1" x14ac:dyDescent="0.25">
      <c r="A5" s="92" t="s">
        <v>155</v>
      </c>
      <c r="B5" s="88">
        <v>63093211</v>
      </c>
      <c r="C5" s="89">
        <v>19063006</v>
      </c>
      <c r="D5" s="90">
        <v>44954000</v>
      </c>
      <c r="E5" s="91">
        <f t="shared" ref="E5:E6" si="0">SUM(B5:D5)</f>
        <v>127110217</v>
      </c>
    </row>
    <row r="6" spans="1:5" ht="36.75" customHeight="1" x14ac:dyDescent="0.25">
      <c r="A6" s="92" t="s">
        <v>156</v>
      </c>
      <c r="B6" s="91">
        <v>56010972</v>
      </c>
      <c r="C6" s="89">
        <v>19063006</v>
      </c>
      <c r="D6" s="90">
        <v>44954000</v>
      </c>
      <c r="E6" s="91">
        <f t="shared" si="0"/>
        <v>120027978</v>
      </c>
    </row>
    <row r="8" spans="1:5" x14ac:dyDescent="0.2">
      <c r="A8" s="84" t="s">
        <v>162</v>
      </c>
      <c r="B8" s="84"/>
      <c r="C8" s="84"/>
    </row>
  </sheetData>
  <mergeCells count="2">
    <mergeCell ref="A2:E2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2018. Tesz</vt:lpstr>
      <vt:lpstr>2018. Önálló inézmény</vt:lpstr>
      <vt:lpstr>2018. Integrálás intézménybe</vt:lpstr>
      <vt:lpstr>összehasonlító tábla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4mikro</dc:creator>
  <cp:lastModifiedBy>Kontra Lajos</cp:lastModifiedBy>
  <cp:revision>0</cp:revision>
  <cp:lastPrinted>2018-03-29T10:05:19Z</cp:lastPrinted>
  <dcterms:created xsi:type="dcterms:W3CDTF">2018-01-10T15:12:01Z</dcterms:created>
  <dcterms:modified xsi:type="dcterms:W3CDTF">2018-05-17T07:42:01Z</dcterms:modified>
</cp:coreProperties>
</file>