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KVU\Kivitelezes\Ivoviz\Tiszazug_P120345\02_Munka\03_Engedelyek\Vízjogi üzemeltetési endély dokumentáció\Vagyonleltár\"/>
    </mc:Choice>
  </mc:AlternateContent>
  <bookViews>
    <workbookView xWindow="0" yWindow="0" windowWidth="6990" windowHeight="5700"/>
  </bookViews>
  <sheets>
    <sheet name="Vagyon leltár" sheetId="1" r:id="rId1"/>
  </sheets>
  <definedNames>
    <definedName name="_xlnm._FilterDatabase" localSheetId="0" hidden="1">'Vagyon leltár'!$B$4:$N$345</definedName>
    <definedName name="i">'Vagyon leltár'!#REF!</definedName>
    <definedName name="j">'Vagyon leltár'!#REF!</definedName>
    <definedName name="k">'Vagyon leltár'!#REF!</definedName>
    <definedName name="l">'Vagyon leltár'!#REF!</definedName>
    <definedName name="m">'Vagyon leltár'!#REF!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2" i="1" l="1"/>
  <c r="K54" i="1"/>
  <c r="K311" i="1"/>
  <c r="K310" i="1"/>
  <c r="K234" i="1"/>
  <c r="K233" i="1"/>
  <c r="K14" i="1" l="1"/>
  <c r="K15" i="1"/>
  <c r="K324" i="1" l="1"/>
  <c r="K325" i="1"/>
  <c r="H13" i="1"/>
  <c r="K32" i="1" l="1"/>
  <c r="K344" i="1" l="1"/>
  <c r="K282" i="1"/>
  <c r="K198" i="1"/>
  <c r="K132" i="1"/>
  <c r="K67" i="1"/>
  <c r="K18" i="1"/>
  <c r="K297" i="1"/>
  <c r="K159" i="1" l="1"/>
  <c r="J322" i="1" l="1"/>
  <c r="J256" i="1"/>
  <c r="K256" i="1" s="1"/>
  <c r="J252" i="1"/>
  <c r="K252" i="1" s="1"/>
  <c r="J162" i="1"/>
  <c r="K162" i="1" s="1"/>
  <c r="J113" i="1"/>
  <c r="K113" i="1" s="1"/>
  <c r="J39" i="1"/>
  <c r="K39" i="1" s="1"/>
  <c r="K322" i="1"/>
  <c r="K255" i="1"/>
  <c r="K112" i="1"/>
  <c r="K323" i="1"/>
  <c r="K254" i="1"/>
  <c r="K251" i="1"/>
  <c r="K111" i="1"/>
  <c r="K164" i="1"/>
  <c r="K41" i="1"/>
  <c r="K257" i="1"/>
  <c r="K253" i="1"/>
  <c r="K114" i="1"/>
  <c r="K40" i="1"/>
  <c r="K66" i="1" l="1"/>
  <c r="K47" i="1"/>
  <c r="K328" i="1"/>
  <c r="K327" i="1"/>
  <c r="K326" i="1"/>
  <c r="K265" i="1"/>
  <c r="K264" i="1"/>
  <c r="K263" i="1"/>
  <c r="K175" i="1"/>
  <c r="K174" i="1"/>
  <c r="K117" i="1"/>
  <c r="K51" i="1"/>
  <c r="K50" i="1"/>
  <c r="K49" i="1"/>
  <c r="K48" i="1"/>
  <c r="K262" i="1"/>
  <c r="K261" i="1"/>
  <c r="K173" i="1"/>
  <c r="K172" i="1"/>
  <c r="K116" i="1"/>
  <c r="K242" i="1"/>
  <c r="K161" i="1"/>
  <c r="K160" i="1"/>
  <c r="K110" i="1"/>
  <c r="J294" i="1" l="1"/>
  <c r="K294" i="1" s="1"/>
  <c r="J219" i="1"/>
  <c r="K219" i="1" s="1"/>
  <c r="J143" i="1"/>
  <c r="K143" i="1" s="1"/>
  <c r="J83" i="1"/>
  <c r="K83" i="1" s="1"/>
  <c r="J179" i="1"/>
  <c r="K179" i="1" s="1"/>
  <c r="K292" i="1"/>
  <c r="K217" i="1"/>
  <c r="K216" i="1"/>
  <c r="K178" i="1"/>
  <c r="K81" i="1"/>
  <c r="K80" i="1"/>
  <c r="K79" i="1"/>
  <c r="K17" i="1"/>
  <c r="K16" i="1"/>
  <c r="J306" i="1"/>
  <c r="J229" i="1"/>
  <c r="K229" i="1" s="1"/>
  <c r="J155" i="1"/>
  <c r="K155" i="1" s="1"/>
  <c r="J95" i="1"/>
  <c r="K95" i="1" s="1"/>
  <c r="K306" i="1"/>
  <c r="J29" i="1"/>
  <c r="K29" i="1" s="1"/>
  <c r="K158" i="1" l="1"/>
  <c r="J208" i="1"/>
  <c r="J289" i="1"/>
  <c r="J288" i="1"/>
  <c r="J287" i="1"/>
  <c r="J286" i="1"/>
  <c r="K205" i="1"/>
  <c r="J205" i="1" s="1"/>
  <c r="K206" i="1"/>
  <c r="J206" i="1" s="1"/>
  <c r="J207" i="1"/>
  <c r="J71" i="1"/>
  <c r="J73" i="1"/>
  <c r="J201" i="1"/>
  <c r="J200" i="1"/>
  <c r="J199" i="1"/>
  <c r="J210" i="1" l="1"/>
  <c r="J209" i="1"/>
  <c r="J137" i="1"/>
  <c r="J136" i="1"/>
  <c r="J135" i="1"/>
  <c r="J134" i="1"/>
  <c r="J75" i="1"/>
  <c r="J74" i="1"/>
  <c r="J12" i="1"/>
  <c r="J11" i="1"/>
  <c r="J72" i="1"/>
  <c r="J8" i="1"/>
  <c r="J7" i="1"/>
  <c r="K10" i="1"/>
  <c r="J9" i="1"/>
  <c r="K309" i="1" l="1"/>
  <c r="K308" i="1"/>
  <c r="K307" i="1"/>
  <c r="K295" i="1"/>
  <c r="K291" i="1"/>
  <c r="K290" i="1"/>
  <c r="K232" i="1"/>
  <c r="K231" i="1"/>
  <c r="K230" i="1"/>
  <c r="K220" i="1"/>
  <c r="K215" i="1"/>
  <c r="K214" i="1"/>
  <c r="K213" i="1"/>
  <c r="K212" i="1"/>
  <c r="K211" i="1"/>
  <c r="K157" i="1"/>
  <c r="K156" i="1"/>
  <c r="K154" i="1"/>
  <c r="K144" i="1"/>
  <c r="K141" i="1"/>
  <c r="K140" i="1"/>
  <c r="K139" i="1"/>
  <c r="K138" i="1"/>
  <c r="K99" i="1"/>
  <c r="K98" i="1"/>
  <c r="K96" i="1"/>
  <c r="K86" i="1"/>
  <c r="K84" i="1"/>
  <c r="K78" i="1"/>
  <c r="K77" i="1"/>
  <c r="K76" i="1"/>
  <c r="K31" i="1"/>
  <c r="K30" i="1"/>
  <c r="K25" i="1"/>
  <c r="K19" i="1"/>
  <c r="K13" i="1"/>
  <c r="J305" i="1" l="1"/>
  <c r="K305" i="1" s="1"/>
  <c r="J228" i="1"/>
  <c r="K228" i="1" s="1"/>
  <c r="J151" i="1"/>
  <c r="K151" i="1" s="1"/>
  <c r="J94" i="1"/>
  <c r="K94" i="1" s="1"/>
  <c r="J28" i="1"/>
  <c r="K28" i="1" s="1"/>
  <c r="K302" i="1"/>
  <c r="K301" i="1"/>
  <c r="K223" i="1"/>
  <c r="K147" i="1"/>
  <c r="K89" i="1"/>
  <c r="K88" i="1"/>
  <c r="K87" i="1"/>
  <c r="K22" i="1"/>
  <c r="J222" i="1"/>
  <c r="J153" i="1"/>
  <c r="K153" i="1" s="1"/>
  <c r="J152" i="1"/>
  <c r="K152" i="1" s="1"/>
  <c r="J226" i="1"/>
  <c r="K226" i="1" s="1"/>
  <c r="J149" i="1"/>
  <c r="K149" i="1" s="1"/>
  <c r="J303" i="1"/>
  <c r="K303" i="1" s="1"/>
  <c r="J92" i="1"/>
  <c r="K92" i="1" s="1"/>
  <c r="J304" i="1"/>
  <c r="K304" i="1" s="1"/>
  <c r="J227" i="1"/>
  <c r="K227" i="1" s="1"/>
  <c r="J150" i="1"/>
  <c r="K150" i="1" s="1"/>
  <c r="J93" i="1"/>
  <c r="J27" i="1"/>
  <c r="J26" i="1"/>
  <c r="K26" i="1" s="1"/>
  <c r="K222" i="1"/>
  <c r="K93" i="1"/>
  <c r="K27" i="1"/>
  <c r="K300" i="1" l="1"/>
  <c r="K299" i="1"/>
  <c r="K298" i="1"/>
  <c r="K225" i="1"/>
  <c r="K224" i="1"/>
  <c r="K148" i="1"/>
  <c r="K91" i="1"/>
  <c r="K90" i="1"/>
  <c r="K24" i="1"/>
  <c r="K23" i="1"/>
  <c r="K82" i="1"/>
  <c r="K142" i="1"/>
  <c r="K293" i="1" l="1"/>
  <c r="J218" i="1"/>
  <c r="K218" i="1" s="1"/>
  <c r="K180" i="1"/>
  <c r="K237" i="1"/>
  <c r="K241" i="1"/>
  <c r="K46" i="1"/>
  <c r="K314" i="1"/>
  <c r="K45" i="1"/>
  <c r="K240" i="1"/>
  <c r="K313" i="1"/>
  <c r="K321" i="1"/>
  <c r="K320" i="1"/>
  <c r="K260" i="1"/>
  <c r="K259" i="1"/>
  <c r="K258" i="1"/>
  <c r="K171" i="1"/>
  <c r="K170" i="1"/>
  <c r="K169" i="1"/>
  <c r="K109" i="1"/>
  <c r="K108" i="1"/>
  <c r="K38" i="1"/>
  <c r="K37" i="1"/>
  <c r="K36" i="1"/>
  <c r="K319" i="1"/>
  <c r="K318" i="1"/>
  <c r="K317" i="1"/>
  <c r="K316" i="1"/>
  <c r="K250" i="1"/>
  <c r="K249" i="1"/>
  <c r="K247" i="1"/>
  <c r="K246" i="1"/>
  <c r="K243" i="1"/>
  <c r="K168" i="1"/>
  <c r="K167" i="1"/>
  <c r="K166" i="1"/>
  <c r="K165" i="1"/>
  <c r="K107" i="1"/>
  <c r="K106" i="1"/>
  <c r="K105" i="1"/>
  <c r="K35" i="1"/>
  <c r="K6" i="1"/>
  <c r="K284" i="1"/>
  <c r="K203" i="1"/>
  <c r="K177" i="1"/>
  <c r="K70" i="1"/>
  <c r="K69" i="1"/>
  <c r="K5" i="1"/>
  <c r="K281" i="1" l="1"/>
  <c r="H197" i="1" l="1"/>
  <c r="K197" i="1" s="1"/>
  <c r="H131" i="1"/>
  <c r="K131" i="1" s="1"/>
  <c r="H65" i="1"/>
  <c r="K65" i="1" s="1"/>
  <c r="H343" i="1"/>
  <c r="K343" i="1" s="1"/>
  <c r="H280" i="1"/>
  <c r="K280" i="1" s="1"/>
  <c r="H285" i="1" l="1"/>
  <c r="K285" i="1" s="1"/>
  <c r="H204" i="1"/>
  <c r="K204" i="1" s="1"/>
  <c r="H312" i="1" l="1"/>
  <c r="H248" i="1"/>
  <c r="H245" i="1"/>
  <c r="H244" i="1"/>
  <c r="H239" i="1"/>
  <c r="H238" i="1"/>
  <c r="H236" i="1"/>
  <c r="H163" i="1"/>
  <c r="H184" i="1"/>
  <c r="H183" i="1"/>
  <c r="H182" i="1"/>
  <c r="H181" i="1"/>
  <c r="H104" i="1"/>
  <c r="H103" i="1"/>
  <c r="H102" i="1"/>
  <c r="H101" i="1"/>
  <c r="H100" i="1"/>
  <c r="K244" i="1" l="1"/>
  <c r="K245" i="1"/>
  <c r="K248" i="1"/>
  <c r="K101" i="1"/>
  <c r="K181" i="1"/>
  <c r="K163" i="1"/>
  <c r="K102" i="1"/>
  <c r="K182" i="1"/>
  <c r="K236" i="1"/>
  <c r="K103" i="1"/>
  <c r="K183" i="1"/>
  <c r="K238" i="1"/>
  <c r="K100" i="1"/>
  <c r="K104" i="1"/>
  <c r="K239" i="1"/>
  <c r="K312" i="1"/>
  <c r="H44" i="1"/>
  <c r="H43" i="1"/>
  <c r="H42" i="1"/>
  <c r="H34" i="1"/>
  <c r="H33" i="1"/>
  <c r="K34" i="1" l="1"/>
  <c r="K33" i="1"/>
  <c r="K44" i="1"/>
  <c r="K43" i="1"/>
  <c r="K42" i="1"/>
  <c r="P349" i="1" l="1"/>
</calcChain>
</file>

<file path=xl/comments1.xml><?xml version="1.0" encoding="utf-8"?>
<comments xmlns="http://schemas.openxmlformats.org/spreadsheetml/2006/main">
  <authors>
    <author>Waller Adrián</author>
  </authors>
  <commentList>
    <comment ref="P27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Aerzen hozta!!!</t>
        </r>
      </text>
    </comment>
    <comment ref="P52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Gépszer/Drink-System, 3 állásoso Maurer</t>
        </r>
      </text>
    </comment>
    <comment ref="P66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Új kapú/Hús-kor
</t>
        </r>
      </text>
    </comment>
    <comment ref="P82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egész gáztalanító technológia
</t>
        </r>
      </text>
    </comment>
    <comment ref="P97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Ezek a meglévőek??? ..mert akkor nem költség!!! 1 db hidegtartalék!</t>
        </r>
      </text>
    </comment>
    <comment ref="P132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Tóth és Társa
</t>
        </r>
      </text>
    </comment>
    <comment ref="P134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Vikuv csinálta</t>
        </r>
      </text>
    </comment>
    <comment ref="P142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Egész gáztalanító technológia
</t>
        </r>
      </text>
    </comment>
    <comment ref="P160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Csak becslés!!!</t>
        </r>
      </text>
    </comment>
    <comment ref="P203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Megnézni!</t>
        </r>
      </text>
    </comment>
    <comment ref="P218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Egésu gáztalanító technológia</t>
        </r>
      </text>
    </comment>
    <comment ref="P221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Egész technológia ára!</t>
        </r>
      </text>
    </comment>
    <comment ref="P282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Tóth és Társától megnézni!</t>
        </r>
      </text>
    </comment>
    <comment ref="P284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Utána nézni!
</t>
        </r>
      </text>
    </comment>
    <comment ref="P289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Nyersvíz puffer lehet!</t>
        </r>
      </text>
    </comment>
    <comment ref="P293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Egész technológia költsége!</t>
        </r>
      </text>
    </comment>
    <comment ref="P296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???</t>
        </r>
      </text>
    </comment>
    <comment ref="P343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Utána nézni!</t>
        </r>
      </text>
    </comment>
    <comment ref="P344" authorId="0" shapeId="0">
      <text>
        <r>
          <rPr>
            <b/>
            <sz val="9"/>
            <color indexed="81"/>
            <rFont val="Segoe UI"/>
            <family val="2"/>
            <charset val="238"/>
          </rPr>
          <t>Waller Adrián:</t>
        </r>
        <r>
          <rPr>
            <sz val="9"/>
            <color indexed="81"/>
            <rFont val="Segoe UI"/>
            <family val="2"/>
            <charset val="238"/>
          </rPr>
          <t xml:space="preserve">
Tóth és Társánál utáan nézni!</t>
        </r>
      </text>
    </comment>
  </commentList>
</comments>
</file>

<file path=xl/sharedStrings.xml><?xml version="1.0" encoding="utf-8"?>
<sst xmlns="http://schemas.openxmlformats.org/spreadsheetml/2006/main" count="2822" uniqueCount="320">
  <si>
    <t>Település</t>
  </si>
  <si>
    <t>Utca</t>
  </si>
  <si>
    <t>Obj. Csoport</t>
  </si>
  <si>
    <t>Objektum</t>
  </si>
  <si>
    <t>Mennyiség</t>
  </si>
  <si>
    <t>ME</t>
  </si>
  <si>
    <t>Típus</t>
  </si>
  <si>
    <t>Jelen érték</t>
  </si>
  <si>
    <t>Megnevezés</t>
  </si>
  <si>
    <t>Tárolóhely</t>
  </si>
  <si>
    <t>Vagyon érték</t>
  </si>
  <si>
    <t>Eszköz</t>
  </si>
  <si>
    <t>Martfű</t>
  </si>
  <si>
    <t>Hrsz</t>
  </si>
  <si>
    <t>Munkácsy út</t>
  </si>
  <si>
    <t>Vízműtelep</t>
  </si>
  <si>
    <t>Épület</t>
  </si>
  <si>
    <t>Új</t>
  </si>
  <si>
    <t>Felújítás</t>
  </si>
  <si>
    <t>Víztárolás</t>
  </si>
  <si>
    <t>Műtárgy</t>
  </si>
  <si>
    <t>2x250</t>
  </si>
  <si>
    <t>2x20</t>
  </si>
  <si>
    <t>30+15</t>
  </si>
  <si>
    <t>Visszamosóvíz puffer tározó</t>
  </si>
  <si>
    <t>Kontakt tartály</t>
  </si>
  <si>
    <t>Tisztavíz tározó medence</t>
  </si>
  <si>
    <t>Meglévő tisztavíz tározó medence</t>
  </si>
  <si>
    <r>
      <t>m</t>
    </r>
    <r>
      <rPr>
        <vertAlign val="superscript"/>
        <sz val="10"/>
        <color theme="1"/>
        <rFont val="Arial"/>
        <family val="2"/>
        <charset val="238"/>
      </rPr>
      <t>2</t>
    </r>
  </si>
  <si>
    <r>
      <t>m</t>
    </r>
    <r>
      <rPr>
        <vertAlign val="superscript"/>
        <sz val="10"/>
        <color theme="1"/>
        <rFont val="Arial"/>
        <family val="2"/>
        <charset val="238"/>
      </rPr>
      <t>3</t>
    </r>
  </si>
  <si>
    <t>Felszín alatti vízkivétel</t>
  </si>
  <si>
    <t>m</t>
  </si>
  <si>
    <t xml:space="preserve">7. számú (B-52. kataszteri számú); 280 m talpmélységű vízmű kút </t>
  </si>
  <si>
    <t xml:space="preserve">2. számú (B-12. kataszteri számú); eltömedékelt vízmű kút </t>
  </si>
  <si>
    <t>Gép</t>
  </si>
  <si>
    <t>Wilo TWI 6.50-07-B</t>
  </si>
  <si>
    <t>db</t>
  </si>
  <si>
    <t>Berendezés</t>
  </si>
  <si>
    <t>Gáztalanító tartály</t>
  </si>
  <si>
    <t>Ivóvízkezelés</t>
  </si>
  <si>
    <t>Vákuum szivattyú</t>
  </si>
  <si>
    <t>Wilo MVI 7002/1</t>
  </si>
  <si>
    <t>Grundfos DDE 15-4 PR-PVC/T/C-X-31I004BG</t>
  </si>
  <si>
    <t>Adagoló szivattyú</t>
  </si>
  <si>
    <t>Grundfos DMX 25-3 AR-PVC/T/C-S-G1B2B2F</t>
  </si>
  <si>
    <t>Statikus keverő</t>
  </si>
  <si>
    <t>mm</t>
  </si>
  <si>
    <t>Szűrő tartály</t>
  </si>
  <si>
    <t>WILO MHI 406-I-E-3-400-5-2</t>
  </si>
  <si>
    <t>Klórtápvíz szivattyú</t>
  </si>
  <si>
    <t>Légfúvó</t>
  </si>
  <si>
    <t>Kompresszor</t>
  </si>
  <si>
    <t>Hűtve szárító</t>
  </si>
  <si>
    <t>DUV-4A-300-H 10-150 H</t>
  </si>
  <si>
    <t>UV berendezés</t>
  </si>
  <si>
    <t>Wilo MHI 406-I-E-1-230</t>
  </si>
  <si>
    <t>Utóklór szivattyú</t>
  </si>
  <si>
    <t>Hálózati nyomásfokozó szivattyú</t>
  </si>
  <si>
    <t>Wilo IL 100/150-15/2</t>
  </si>
  <si>
    <t>Visszamosató szivattyú</t>
  </si>
  <si>
    <t>Visszamosó hulladékvíz átemelő szivattyú</t>
  </si>
  <si>
    <t>Kézi pillangószelep</t>
  </si>
  <si>
    <t>DN100</t>
  </si>
  <si>
    <t>DN150</t>
  </si>
  <si>
    <t>DN200</t>
  </si>
  <si>
    <t>Pneumatikus pillangószelep</t>
  </si>
  <si>
    <t>Visszacsapószelep - tányéros</t>
  </si>
  <si>
    <t>DN80</t>
  </si>
  <si>
    <t>DN250</t>
  </si>
  <si>
    <t>Szárnykerekes vízmennyiségmérő /ARAD/</t>
  </si>
  <si>
    <t xml:space="preserve">DN20 </t>
  </si>
  <si>
    <t>Irányítástechnika</t>
  </si>
  <si>
    <t>Energiaellátás</t>
  </si>
  <si>
    <t>Frekvenciaváltó</t>
  </si>
  <si>
    <t>Elosztó szekrény</t>
  </si>
  <si>
    <t>Érzékelők (Nyomástávadó, szinttávadó)</t>
  </si>
  <si>
    <t>Kommunikációs eszközök</t>
  </si>
  <si>
    <t>Térvilágítás</t>
  </si>
  <si>
    <t>Lámpatest</t>
  </si>
  <si>
    <t>Biztonságtechnika</t>
  </si>
  <si>
    <t>Kamera</t>
  </si>
  <si>
    <t>Biztonsági központ</t>
  </si>
  <si>
    <t>Rögzítő</t>
  </si>
  <si>
    <t>PLC program</t>
  </si>
  <si>
    <t>Immateriális javak</t>
  </si>
  <si>
    <t>Technológiai feladó szivattyú</t>
  </si>
  <si>
    <t>Projekt megnevezés: Tiszazugi Ivóvízminőség-javító Program (KEOP-1.3.0/2F-09-2011-0002)</t>
  </si>
  <si>
    <t>Vízmű kezelő gépház</t>
  </si>
  <si>
    <t>Öcsöd</t>
  </si>
  <si>
    <t>2902/2</t>
  </si>
  <si>
    <t>Arany János sor</t>
  </si>
  <si>
    <t>2x10</t>
  </si>
  <si>
    <t>2x25+8</t>
  </si>
  <si>
    <t>Puffer  tározó</t>
  </si>
  <si>
    <t>Vas-iszap ülepítő</t>
  </si>
  <si>
    <t>Wilo BL40/210-11/2</t>
  </si>
  <si>
    <t>Wilo MHI 206N 3’400/1.4404/Viton</t>
  </si>
  <si>
    <t>Törésponti-klór adagoló szivattyú</t>
  </si>
  <si>
    <t>Utóklór adagoló szivattyú</t>
  </si>
  <si>
    <t>GRUNDFOS CR 32-4-2</t>
  </si>
  <si>
    <t>Wilo Rexa FIT V05DA-126</t>
  </si>
  <si>
    <t>DN65</t>
  </si>
  <si>
    <t>DN50</t>
  </si>
  <si>
    <t>Motoros tolózár</t>
  </si>
  <si>
    <t>AUMA - DN50</t>
  </si>
  <si>
    <t>Visszacsapószelep - lemezes</t>
  </si>
  <si>
    <t>Indukciós vízmérő</t>
  </si>
  <si>
    <t>Tiszaföldvár</t>
  </si>
  <si>
    <t>Ószőlő Fő út</t>
  </si>
  <si>
    <t>2x200</t>
  </si>
  <si>
    <t>Hulladékvíz puffer medence</t>
  </si>
  <si>
    <t>Vasbeton puffer tározó</t>
  </si>
  <si>
    <t>2x72</t>
  </si>
  <si>
    <t>I/1. számú (K-52. kataszteri számú); eltömedékelt vízmű kút</t>
  </si>
  <si>
    <t>II/1. számú (B-60 kataszteri számú); felújított vízmű kút</t>
  </si>
  <si>
    <t>II/2. számú (B-63 kataszteri szám); felújított vízmű kút</t>
  </si>
  <si>
    <t>Grundfos SP 30-5</t>
  </si>
  <si>
    <t>Grundfos SP 46-5</t>
  </si>
  <si>
    <t>Grundfos SP 60-6</t>
  </si>
  <si>
    <t>Grundfos CR 64-2 A-F-A-V-HQQV</t>
  </si>
  <si>
    <t>Grundfos DDE 6-10 PR-PVC/T/C-X-31I003BG</t>
  </si>
  <si>
    <t>BOGE F-36-M</t>
  </si>
  <si>
    <t>Levegő mikro szűrő</t>
  </si>
  <si>
    <t>BOGE F-745-FM</t>
  </si>
  <si>
    <t>DUV-4A-500-HO 10-200N</t>
  </si>
  <si>
    <t>Grundfos CM1-8 A-R-A-E-AVBE</t>
  </si>
  <si>
    <t>Tározó ürítő szivattyú</t>
  </si>
  <si>
    <t>Grundfos CR 64-2 3~400 11 kW</t>
  </si>
  <si>
    <t>Hulladékvíz szivattyú</t>
  </si>
  <si>
    <t>Tolózár /rövid/</t>
  </si>
  <si>
    <t>DN125</t>
  </si>
  <si>
    <t>DN300</t>
  </si>
  <si>
    <t>AUMA - DN200</t>
  </si>
  <si>
    <t>AUMA - DN300</t>
  </si>
  <si>
    <t>DN150; MUT2200 + MC608</t>
  </si>
  <si>
    <t>DN300; MUT2200 + MC608</t>
  </si>
  <si>
    <t>Homok - 4 db</t>
  </si>
  <si>
    <t>Homok - 2 db</t>
  </si>
  <si>
    <t>Aktívszén - 2 db</t>
  </si>
  <si>
    <t>5. számú (K-51. kataszteri számú); 120 m talpmélységű vízmű kút</t>
  </si>
  <si>
    <t xml:space="preserve">6. számú (B-52. kataszteri számú) 90 m talpmélységű vízmű kút </t>
  </si>
  <si>
    <t xml:space="preserve">7. számú (K-68. kataszteri számú); 144 m talpmélységű vízmű kút </t>
  </si>
  <si>
    <t>Csépa</t>
  </si>
  <si>
    <t>02/2</t>
  </si>
  <si>
    <t>Bajcsy-Zsilinszky utca</t>
  </si>
  <si>
    <t>Meglévő vízmű kezelő gépház</t>
  </si>
  <si>
    <t>Csapadékvíz puffer tározó</t>
  </si>
  <si>
    <t>Hulladékvíz gyűjtő műtárgy</t>
  </si>
  <si>
    <t>2x75</t>
  </si>
  <si>
    <t>2x143</t>
  </si>
  <si>
    <t>2x100</t>
  </si>
  <si>
    <t xml:space="preserve">4. számú (K-21. kataszteri számú); 465 m talpmélységű vízmű kút </t>
  </si>
  <si>
    <t>5. számú (K-22. kataszteri számú); 430 m talpmélységű vízmű kút</t>
  </si>
  <si>
    <t>Wilo TWI 6.18-05-B</t>
  </si>
  <si>
    <t>Wilo TWI 6.60-08-B</t>
  </si>
  <si>
    <t>Rotaméter</t>
  </si>
  <si>
    <t>Homok - 8 db</t>
  </si>
  <si>
    <t>Aktívszén - 4 db</t>
  </si>
  <si>
    <t>DUV-5A-500-HO 10-200N</t>
  </si>
  <si>
    <t>Wilo MHI 405N 3’400/1.4301/EPDM</t>
  </si>
  <si>
    <t>Wilo BL65/210-18,5/2</t>
  </si>
  <si>
    <t>Wilo MVIL 507/PN 16</t>
  </si>
  <si>
    <t>Keringető szivattyú</t>
  </si>
  <si>
    <t>AUMA - DN150</t>
  </si>
  <si>
    <t>Visszacsapószelep - szennyvízre</t>
  </si>
  <si>
    <t xml:space="preserve">Visszacsapószelep - lemezes </t>
  </si>
  <si>
    <t>DN250; MUT2200 + MC608</t>
  </si>
  <si>
    <t>3-as</t>
  </si>
  <si>
    <t>5-ös</t>
  </si>
  <si>
    <t>Mintavételi egység</t>
  </si>
  <si>
    <t>Cserkeszőlő</t>
  </si>
  <si>
    <t>Fürdő utca</t>
  </si>
  <si>
    <t>Regeneráló hulladékvíz puffer tároló</t>
  </si>
  <si>
    <t>Visszamosó hulladékvíz puffer tároló</t>
  </si>
  <si>
    <t>Puffer tároló</t>
  </si>
  <si>
    <t>15+5</t>
  </si>
  <si>
    <t xml:space="preserve">Wilo NL 32/200B-5,5-2-12-50Hz </t>
  </si>
  <si>
    <t>Wilo MHI 202 3~400/1.4301/EPDM</t>
  </si>
  <si>
    <t>Regeneráló szivattyú</t>
  </si>
  <si>
    <t>Granofilter</t>
  </si>
  <si>
    <t>Homok - 1 db</t>
  </si>
  <si>
    <t>Aktívszén - 1 db</t>
  </si>
  <si>
    <t>Wilo MHIL-107-3-400</t>
  </si>
  <si>
    <t>Wilo FIT Pro V05DA-126</t>
  </si>
  <si>
    <t>Visszamosó hulladékvíz puffer szivattyú</t>
  </si>
  <si>
    <t>Wilo FIT Pro V05DA-122</t>
  </si>
  <si>
    <t>Visszapcsapószelep - golyós, vízre</t>
  </si>
  <si>
    <t>2-es</t>
  </si>
  <si>
    <r>
      <t>T</t>
    </r>
    <r>
      <rPr>
        <vertAlign val="subscript"/>
        <sz val="10"/>
        <color theme="1"/>
        <rFont val="Arial"/>
        <family val="2"/>
        <charset val="238"/>
      </rPr>
      <t>PK</t>
    </r>
    <r>
      <rPr>
        <sz val="10"/>
        <color theme="1"/>
        <rFont val="Arial"/>
        <family val="2"/>
        <charset val="238"/>
      </rPr>
      <t xml:space="preserve"> 150/6-400</t>
    </r>
  </si>
  <si>
    <r>
      <t>T</t>
    </r>
    <r>
      <rPr>
        <vertAlign val="subscript"/>
        <sz val="10"/>
        <color theme="1"/>
        <rFont val="Arial"/>
        <family val="2"/>
        <charset val="238"/>
      </rPr>
      <t>PK</t>
    </r>
    <r>
      <rPr>
        <sz val="10"/>
        <color theme="1"/>
        <rFont val="Arial"/>
        <family val="2"/>
        <charset val="238"/>
      </rPr>
      <t xml:space="preserve"> 100/10-450</t>
    </r>
  </si>
  <si>
    <r>
      <t>T</t>
    </r>
    <r>
      <rPr>
        <vertAlign val="subscript"/>
        <sz val="10"/>
        <color theme="1"/>
        <rFont val="Arial"/>
        <family val="2"/>
        <charset val="238"/>
      </rPr>
      <t>PK</t>
    </r>
    <r>
      <rPr>
        <sz val="10"/>
        <color theme="1"/>
        <rFont val="Arial"/>
        <family val="2"/>
        <charset val="238"/>
      </rPr>
      <t xml:space="preserve"> 200/6-500</t>
    </r>
  </si>
  <si>
    <r>
      <t>T</t>
    </r>
    <r>
      <rPr>
        <vertAlign val="subscript"/>
        <sz val="10"/>
        <color theme="1"/>
        <rFont val="Arial"/>
        <family val="2"/>
        <charset val="238"/>
      </rPr>
      <t>PK</t>
    </r>
    <r>
      <rPr>
        <sz val="10"/>
        <color theme="1"/>
        <rFont val="Arial"/>
        <family val="2"/>
        <charset val="238"/>
      </rPr>
      <t xml:space="preserve"> 100/8-360</t>
    </r>
  </si>
  <si>
    <r>
      <t>T</t>
    </r>
    <r>
      <rPr>
        <vertAlign val="subscript"/>
        <sz val="10"/>
        <color theme="1"/>
        <rFont val="Arial"/>
        <family val="2"/>
        <charset val="238"/>
      </rPr>
      <t xml:space="preserve">PK </t>
    </r>
    <r>
      <rPr>
        <sz val="10"/>
        <color theme="1"/>
        <rFont val="Arial"/>
        <family val="2"/>
        <charset val="238"/>
      </rPr>
      <t>200/6-500</t>
    </r>
  </si>
  <si>
    <r>
      <t>T</t>
    </r>
    <r>
      <rPr>
        <vertAlign val="subscript"/>
        <sz val="10"/>
        <color theme="1"/>
        <rFont val="Arial"/>
        <family val="2"/>
        <charset val="238"/>
      </rPr>
      <t>PK</t>
    </r>
    <r>
      <rPr>
        <sz val="10"/>
        <color theme="1"/>
        <rFont val="Arial"/>
        <family val="2"/>
        <charset val="238"/>
      </rPr>
      <t xml:space="preserve"> 80/3-800</t>
    </r>
  </si>
  <si>
    <t>PP tartály</t>
  </si>
  <si>
    <t>Vasbeton</t>
  </si>
  <si>
    <t>Udvartéri vezeték hálózat</t>
  </si>
  <si>
    <t>fm</t>
  </si>
  <si>
    <t>Csővezeték</t>
  </si>
  <si>
    <t>2902/1</t>
  </si>
  <si>
    <t>1440/5</t>
  </si>
  <si>
    <t>Hársfa út</t>
  </si>
  <si>
    <t>099/4</t>
  </si>
  <si>
    <t>Kútszivattyú (B-60; K-68)</t>
  </si>
  <si>
    <t>Kútszivattyú (B-63)</t>
  </si>
  <si>
    <t>Kútszivattyú (K-54)</t>
  </si>
  <si>
    <t>Kútszivattyú (K-56)</t>
  </si>
  <si>
    <t>Kútszivattyú (K-22)</t>
  </si>
  <si>
    <t>Kútszivattyú (B-19)</t>
  </si>
  <si>
    <t>Kútszivattyú (K-21)</t>
  </si>
  <si>
    <t>Kútszivattyú (K-20)</t>
  </si>
  <si>
    <t>Kútszivattyú (B-18)</t>
  </si>
  <si>
    <t>külterület</t>
  </si>
  <si>
    <t>0105/11</t>
  </si>
  <si>
    <t>Kútszivattyú (1. sz.)</t>
  </si>
  <si>
    <t>Kútszivattyú (2. sz.)</t>
  </si>
  <si>
    <t>Kútszivattyú (B-52)</t>
  </si>
  <si>
    <t>Kútszivattyú (K-50)</t>
  </si>
  <si>
    <t>Kútszivattyú (K-51)</t>
  </si>
  <si>
    <t>Hőszigetelt kútház</t>
  </si>
  <si>
    <t>3700x1250x1200 mm</t>
  </si>
  <si>
    <t xml:space="preserve">2700x1250x1100 mm </t>
  </si>
  <si>
    <t>2700x1250x1100 mm</t>
  </si>
  <si>
    <t>2900x1300x1100 mm</t>
  </si>
  <si>
    <t>Kerítés hálózat</t>
  </si>
  <si>
    <t>Egyéb</t>
  </si>
  <si>
    <t>Összesen</t>
  </si>
  <si>
    <t>Egységár</t>
  </si>
  <si>
    <t>Wilo Yonos MAXO 25/0,5-12 PN10</t>
  </si>
  <si>
    <t>Puffer tározó</t>
  </si>
  <si>
    <t>DUV-3A-300-H 10-100N</t>
  </si>
  <si>
    <t>WST impulzus adós vízmennyiségmérő</t>
  </si>
  <si>
    <t>Belső telepi úthálózat</t>
  </si>
  <si>
    <t>Wilo FA.08.41-130E</t>
  </si>
  <si>
    <t>Kútszivattyú (1. sz.; 2.sz.; 3. sz.)</t>
  </si>
  <si>
    <t>Wilo TWI 8.80-04</t>
  </si>
  <si>
    <t>Kútszivattyú (7.sz.)</t>
  </si>
  <si>
    <t>Kútszivattyú (5. sz.)</t>
  </si>
  <si>
    <t>Wilo TWI 6.30-04-B</t>
  </si>
  <si>
    <t>Visszamosó szivattyú</t>
  </si>
  <si>
    <t>Hulladék szivattyú</t>
  </si>
  <si>
    <t>e</t>
  </si>
  <si>
    <t>Költség</t>
  </si>
  <si>
    <t>Nettó (Ft)</t>
  </si>
  <si>
    <t>Meglévő tisztavíz tározó medence külső felújítása</t>
  </si>
  <si>
    <t>Kerítés hálózat, kapu cseréje</t>
  </si>
  <si>
    <t>Összesen:</t>
  </si>
  <si>
    <t>Aggregátor (áramfejlesztő)</t>
  </si>
  <si>
    <t>AERZEN GM7L/DN80 + 1db hidgtartalék</t>
  </si>
  <si>
    <t>AERZEN GM4S/DN80 + 1db hidegtartalék</t>
  </si>
  <si>
    <t>AERZEN GM10S/DN100 + 1 db hidegtartalék</t>
  </si>
  <si>
    <t>AERZEN GM4S/DN80 + 1 db hidegtartalék</t>
  </si>
  <si>
    <t>acél tartály</t>
  </si>
  <si>
    <t>PP tartály, acélszerkezet, gépek átszerelése</t>
  </si>
  <si>
    <t>Gáztalanító berendezés</t>
  </si>
  <si>
    <t>Gáztalanító vákuum tartály</t>
  </si>
  <si>
    <t>BOGE K3-270 + 1 hidegtartalék</t>
  </si>
  <si>
    <t>BOGE DS6 + 1 hidegtartalék</t>
  </si>
  <si>
    <t>BOGE K3 + 1 db hidegtartalék</t>
  </si>
  <si>
    <t>BOGE DS6 + 1 db hidegtartalék</t>
  </si>
  <si>
    <t>BOGE K3-270 + 1 db hidegtartalék</t>
  </si>
  <si>
    <t>Adagoló szivattyú + tartály + kármentő</t>
  </si>
  <si>
    <t>Wilo Rexa PRO V06DA-622/EAD1X4-T001</t>
  </si>
  <si>
    <t>Wilo TWI 6.18-07-B</t>
  </si>
  <si>
    <t>Wilo MHI 205 - EPDM EM</t>
  </si>
  <si>
    <t>Wilo NL 65/125-5,5/2-12</t>
  </si>
  <si>
    <t>Wilo BL 125/200-15-4-12 50 Hz</t>
  </si>
  <si>
    <t>Wilo TWI 6.18-06-C</t>
  </si>
  <si>
    <t>Wilo NL 65/125-5,5-2-12</t>
  </si>
  <si>
    <t>Atlas Copco (GESAN) diesel aggregátor 116kVA/93kW</t>
  </si>
  <si>
    <t>Atlas Copco (GESAN) diesel aggregátor 143kVA/114kW</t>
  </si>
  <si>
    <t>Atlas Copco (GESAN) diesel aggregátor 165kVA/132kW</t>
  </si>
  <si>
    <t>Atlas Copco (GESAN) diesel aggregátor 95kVA/76kW</t>
  </si>
  <si>
    <t>DN350; MUT2200 + MC608</t>
  </si>
  <si>
    <t>Grundfos SL1.80.80.15.4.50D.</t>
  </si>
  <si>
    <t>Grundfos NB 125-250/262 A-F2-A-BAQE</t>
  </si>
  <si>
    <t>Nyomásfokozó-hálózati szivattyúk</t>
  </si>
  <si>
    <t>Wilo NL 50/200-15/2-12</t>
  </si>
  <si>
    <t>Gyártási számok</t>
  </si>
  <si>
    <t>AX 95L, ATEX minősített motorral (AL9525DEGIA2G)</t>
  </si>
  <si>
    <t>1.sz.: 16190, 2.sz.: 16191</t>
  </si>
  <si>
    <t>21142106/0001, -II-/0002,  -II-/0003,  -II-/0004</t>
  </si>
  <si>
    <t>4025657 beépített, 4025658 hidegtartalék</t>
  </si>
  <si>
    <t>kompresszorral egybeépítve</t>
  </si>
  <si>
    <t>Atlas Copco kompresszor LF5-10UVFF500400/3/50CE</t>
  </si>
  <si>
    <t>ITR0993540 beépített, ITR993539 hidegtartalék</t>
  </si>
  <si>
    <t>5A-476</t>
  </si>
  <si>
    <r>
      <t>4129007/15W25/382233</t>
    </r>
    <r>
      <rPr>
        <sz val="10"/>
        <color rgb="FFFF0000"/>
        <rFont val="Arial"/>
        <family val="2"/>
        <charset val="238"/>
      </rPr>
      <t xml:space="preserve"> </t>
    </r>
  </si>
  <si>
    <t>4087841/15W28/390260</t>
  </si>
  <si>
    <t>2120641/15W48</t>
  </si>
  <si>
    <t>1 sz: 21142066/00/04  2 sz:21142066/00/03</t>
  </si>
  <si>
    <t>4109087/15w30/1145342/10/01, -II-/02,…,-II-/08</t>
  </si>
  <si>
    <t>ESF302709</t>
  </si>
  <si>
    <t>15-80052436, -II-57246, -II-52437, -II-76295, -II-52436</t>
  </si>
  <si>
    <t>15-200111065</t>
  </si>
  <si>
    <t>15-250111679</t>
  </si>
  <si>
    <t>Reginjekt gáztalanító berendezés</t>
  </si>
  <si>
    <t>Reginjekt DN80</t>
  </si>
  <si>
    <t>4110576/15w29/11415342/30/01, -II-/02</t>
  </si>
  <si>
    <t>4025355 beépített, 4025354 hidegtartalék</t>
  </si>
  <si>
    <t>5088706 üzemi, 5088704 hidegtartalék</t>
  </si>
  <si>
    <t>398784360003</t>
  </si>
  <si>
    <t>3A-112</t>
  </si>
  <si>
    <t>DUV-3A-300-H 10-100 N</t>
  </si>
  <si>
    <t>4109145/15w30/11415342/20/01, -II-/03</t>
  </si>
  <si>
    <t>4149007/15w25/382232</t>
  </si>
  <si>
    <t>WUX 960226</t>
  </si>
  <si>
    <t>Reginjket gáztalanító berendezés</t>
  </si>
  <si>
    <t>Grundfos DDE 6-10 PR-PVC/T/C-X-31I004BG</t>
  </si>
  <si>
    <t>A977094910017152P1124, A9814724010001511P11534, A9814727210001211P11536, A9814727210001195P11532, A9814727210001217P11536, A9814727210001209P11532, A9814727210001203P11532, A9772094910017146P11524</t>
  </si>
  <si>
    <t>21142105/0002, 21137486/0001, 21133416/0001</t>
  </si>
  <si>
    <t>TR1663523-04, TR1663523-02</t>
  </si>
  <si>
    <t>Beépítve: 4148934/15W28/389902, 4148934/15W28/389901</t>
  </si>
  <si>
    <t>Beépítve: 4024288/15W23/277684</t>
  </si>
  <si>
    <t>A96413216P10332, A96413216P303140013</t>
  </si>
  <si>
    <t>Beépítve: 4025353</t>
  </si>
  <si>
    <t>Beépítve: 5088698</t>
  </si>
  <si>
    <t>Beépítve: 398843400002</t>
  </si>
  <si>
    <t>3A-108</t>
  </si>
  <si>
    <t>WUX960328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</si>
</sst>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\ &quot;Ft&quot;"/>
  </numFmts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bscript"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Fill="1" applyBorder="1" applyAlignment="1">
      <alignment horizontal="left"/>
    </xf>
    <xf numFmtId="17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165" fontId="1" fillId="0" borderId="1" xfId="0" applyNumberFormat="1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2" borderId="1" xfId="0" applyFont="1" applyFill="1" applyBorder="1"/>
    <xf numFmtId="0" fontId="1" fillId="0" borderId="1" xfId="0" applyFont="1" applyFill="1" applyBorder="1"/>
    <xf numFmtId="0" fontId="5" fillId="0" borderId="1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/>
    <xf numFmtId="0" fontId="1" fillId="0" borderId="6" xfId="0" applyFont="1" applyBorder="1" applyAlignment="1">
      <alignment horizontal="center" vertical="center"/>
    </xf>
    <xf numFmtId="3" fontId="1" fillId="0" borderId="7" xfId="0" applyNumberFormat="1" applyFont="1" applyFill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left"/>
    </xf>
    <xf numFmtId="0" fontId="1" fillId="0" borderId="9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17" fontId="1" fillId="0" borderId="4" xfId="0" quotePrefix="1" applyNumberFormat="1" applyFont="1" applyBorder="1" applyAlignment="1">
      <alignment horizontal="center" vertical="center"/>
    </xf>
    <xf numFmtId="17" fontId="1" fillId="0" borderId="9" xfId="0" quotePrefix="1" applyNumberFormat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3" fontId="8" fillId="0" borderId="7" xfId="0" applyNumberFormat="1" applyFont="1" applyFill="1" applyBorder="1"/>
    <xf numFmtId="0" fontId="1" fillId="0" borderId="6" xfId="0" applyFont="1" applyFill="1" applyBorder="1" applyAlignment="1">
      <alignment horizontal="center" vertical="center"/>
    </xf>
    <xf numFmtId="17" fontId="1" fillId="0" borderId="1" xfId="0" quotePrefix="1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3" fontId="3" fillId="0" borderId="0" xfId="0" applyNumberFormat="1" applyFont="1"/>
    <xf numFmtId="3" fontId="1" fillId="0" borderId="10" xfId="0" applyNumberFormat="1" applyFont="1" applyFill="1" applyBorder="1"/>
    <xf numFmtId="3" fontId="1" fillId="0" borderId="5" xfId="0" applyNumberFormat="1" applyFont="1" applyFill="1" applyBorder="1"/>
    <xf numFmtId="3" fontId="0" fillId="0" borderId="7" xfId="0" applyNumberFormat="1" applyFill="1" applyBorder="1"/>
    <xf numFmtId="0" fontId="3" fillId="0" borderId="0" xfId="0" applyFont="1" applyAlignment="1">
      <alignment horizontal="right"/>
    </xf>
    <xf numFmtId="0" fontId="3" fillId="0" borderId="15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1" fillId="0" borderId="18" xfId="0" applyFont="1" applyBorder="1"/>
    <xf numFmtId="0" fontId="1" fillId="0" borderId="16" xfId="0" applyFont="1" applyBorder="1"/>
    <xf numFmtId="0" fontId="1" fillId="2" borderId="16" xfId="0" applyFont="1" applyFill="1" applyBorder="1"/>
    <xf numFmtId="0" fontId="1" fillId="0" borderId="17" xfId="0" applyFont="1" applyBorder="1"/>
    <xf numFmtId="0" fontId="1" fillId="0" borderId="16" xfId="0" applyFont="1" applyBorder="1" applyAlignment="1">
      <alignment horizontal="left" vertical="center" wrapText="1"/>
    </xf>
    <xf numFmtId="0" fontId="5" fillId="0" borderId="16" xfId="0" applyFont="1" applyBorder="1"/>
    <xf numFmtId="0" fontId="1" fillId="0" borderId="16" xfId="0" applyFont="1" applyFill="1" applyBorder="1"/>
    <xf numFmtId="0" fontId="1" fillId="0" borderId="16" xfId="0" applyFont="1" applyFill="1" applyBorder="1" applyAlignment="1">
      <alignment horizontal="left" vertical="center" wrapText="1"/>
    </xf>
    <xf numFmtId="0" fontId="1" fillId="0" borderId="16" xfId="0" applyFont="1" applyBorder="1" applyAlignment="1">
      <alignment horizontal="left" wrapText="1"/>
    </xf>
    <xf numFmtId="0" fontId="5" fillId="0" borderId="16" xfId="0" applyFont="1" applyFill="1" applyBorder="1"/>
    <xf numFmtId="0" fontId="1" fillId="0" borderId="16" xfId="0" applyFont="1" applyBorder="1" applyAlignment="1">
      <alignment horizontal="left"/>
    </xf>
    <xf numFmtId="3" fontId="1" fillId="0" borderId="1" xfId="0" applyNumberFormat="1" applyFont="1" applyBorder="1"/>
    <xf numFmtId="3" fontId="1" fillId="0" borderId="21" xfId="0" applyNumberFormat="1" applyFont="1" applyFill="1" applyBorder="1"/>
    <xf numFmtId="3" fontId="1" fillId="0" borderId="1" xfId="0" applyNumberFormat="1" applyFont="1" applyFill="1" applyBorder="1"/>
    <xf numFmtId="49" fontId="1" fillId="0" borderId="16" xfId="0" applyNumberFormat="1" applyFont="1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3" fontId="1" fillId="0" borderId="7" xfId="0" applyNumberFormat="1" applyFont="1" applyFill="1" applyBorder="1" applyAlignment="1">
      <alignment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3" fontId="8" fillId="0" borderId="5" xfId="0" applyNumberFormat="1" applyFont="1" applyFill="1" applyBorder="1"/>
    <xf numFmtId="3" fontId="3" fillId="0" borderId="2" xfId="0" applyNumberFormat="1" applyFont="1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P352"/>
  <sheetViews>
    <sheetView tabSelected="1" zoomScale="70" zoomScaleNormal="70" workbookViewId="0">
      <selection activeCell="P20" sqref="P20"/>
    </sheetView>
  </sheetViews>
  <sheetFormatPr defaultRowHeight="12.75" x14ac:dyDescent="0.2"/>
  <cols>
    <col min="1" max="1" width="9.140625" style="1"/>
    <col min="2" max="2" width="13.28515625" style="2" customWidth="1"/>
    <col min="3" max="3" width="9.140625" style="2"/>
    <col min="4" max="4" width="21.140625" style="2" bestFit="1" customWidth="1"/>
    <col min="5" max="5" width="21.7109375" style="2" customWidth="1"/>
    <col min="6" max="6" width="17.140625" style="2" bestFit="1" customWidth="1"/>
    <col min="7" max="7" width="9.140625" style="2"/>
    <col min="8" max="8" width="10.7109375" style="2" bestFit="1" customWidth="1"/>
    <col min="9" max="9" width="4.85546875" style="2" customWidth="1"/>
    <col min="10" max="11" width="18.28515625" style="19" hidden="1" customWidth="1"/>
    <col min="12" max="12" width="20.5703125" style="2" hidden="1" customWidth="1"/>
    <col min="13" max="13" width="61" style="5" customWidth="1"/>
    <col min="14" max="14" width="49.28515625" style="1" customWidth="1"/>
    <col min="15" max="15" width="51.7109375" style="1" bestFit="1" customWidth="1"/>
    <col min="16" max="16" width="23.42578125" style="1" customWidth="1"/>
    <col min="17" max="16384" width="9.140625" style="1"/>
  </cols>
  <sheetData>
    <row r="1" spans="2:16" ht="13.5" thickBot="1" x14ac:dyDescent="0.25"/>
    <row r="2" spans="2:16" x14ac:dyDescent="0.2">
      <c r="B2" s="78" t="s">
        <v>86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80"/>
    </row>
    <row r="3" spans="2:16" x14ac:dyDescent="0.2">
      <c r="B3" s="81" t="s">
        <v>9</v>
      </c>
      <c r="C3" s="82"/>
      <c r="D3" s="82"/>
      <c r="E3" s="82" t="s">
        <v>3</v>
      </c>
      <c r="F3" s="82"/>
      <c r="G3" s="82"/>
      <c r="H3" s="82" t="s">
        <v>10</v>
      </c>
      <c r="I3" s="82"/>
      <c r="J3" s="82"/>
      <c r="K3" s="82"/>
      <c r="L3" s="82"/>
      <c r="M3" s="83" t="s">
        <v>11</v>
      </c>
      <c r="N3" s="84"/>
      <c r="O3" s="85"/>
      <c r="P3" s="36" t="s">
        <v>242</v>
      </c>
    </row>
    <row r="4" spans="2:16" ht="13.5" thickBot="1" x14ac:dyDescent="0.25">
      <c r="B4" s="37" t="s">
        <v>0</v>
      </c>
      <c r="C4" s="38" t="s">
        <v>13</v>
      </c>
      <c r="D4" s="38" t="s">
        <v>1</v>
      </c>
      <c r="E4" s="38" t="s">
        <v>2</v>
      </c>
      <c r="F4" s="38" t="s">
        <v>3</v>
      </c>
      <c r="G4" s="38" t="s">
        <v>6</v>
      </c>
      <c r="H4" s="38" t="s">
        <v>4</v>
      </c>
      <c r="I4" s="38" t="s">
        <v>5</v>
      </c>
      <c r="J4" s="39" t="s">
        <v>227</v>
      </c>
      <c r="K4" s="39" t="s">
        <v>226</v>
      </c>
      <c r="L4" s="38" t="s">
        <v>7</v>
      </c>
      <c r="M4" s="38" t="s">
        <v>8</v>
      </c>
      <c r="N4" s="38" t="s">
        <v>6</v>
      </c>
      <c r="O4" s="56" t="s">
        <v>278</v>
      </c>
      <c r="P4" s="40" t="s">
        <v>243</v>
      </c>
    </row>
    <row r="5" spans="2:16" ht="14.25" x14ac:dyDescent="0.2">
      <c r="B5" s="24" t="s">
        <v>12</v>
      </c>
      <c r="C5" s="25">
        <v>446</v>
      </c>
      <c r="D5" s="25" t="s">
        <v>14</v>
      </c>
      <c r="E5" s="25" t="s">
        <v>15</v>
      </c>
      <c r="F5" s="25" t="s">
        <v>16</v>
      </c>
      <c r="G5" s="25" t="s">
        <v>17</v>
      </c>
      <c r="H5" s="25">
        <v>115.2</v>
      </c>
      <c r="I5" s="25" t="s">
        <v>28</v>
      </c>
      <c r="J5" s="26">
        <v>180000</v>
      </c>
      <c r="K5" s="26">
        <f>H5*J5</f>
        <v>20736000</v>
      </c>
      <c r="L5" s="25"/>
      <c r="M5" s="27" t="s">
        <v>87</v>
      </c>
      <c r="N5" s="28"/>
      <c r="O5" s="57"/>
      <c r="P5" s="86">
        <v>55325101.412524357</v>
      </c>
    </row>
    <row r="6" spans="2:16" ht="14.25" x14ac:dyDescent="0.2">
      <c r="B6" s="29" t="s">
        <v>12</v>
      </c>
      <c r="C6" s="6">
        <v>446</v>
      </c>
      <c r="D6" s="6" t="s">
        <v>14</v>
      </c>
      <c r="E6" s="6" t="s">
        <v>15</v>
      </c>
      <c r="F6" s="6" t="s">
        <v>16</v>
      </c>
      <c r="G6" s="6" t="s">
        <v>18</v>
      </c>
      <c r="H6" s="6">
        <v>109.4</v>
      </c>
      <c r="I6" s="6" t="s">
        <v>28</v>
      </c>
      <c r="J6" s="18">
        <v>180000</v>
      </c>
      <c r="K6" s="18">
        <f>H6*J6</f>
        <v>19692000</v>
      </c>
      <c r="L6" s="6"/>
      <c r="M6" s="7" t="s">
        <v>145</v>
      </c>
      <c r="N6" s="8"/>
      <c r="O6" s="58"/>
      <c r="P6" s="30">
        <v>11038110.400101114</v>
      </c>
    </row>
    <row r="7" spans="2:16" ht="14.25" x14ac:dyDescent="0.2">
      <c r="B7" s="29" t="s">
        <v>12</v>
      </c>
      <c r="C7" s="6">
        <v>446</v>
      </c>
      <c r="D7" s="6" t="s">
        <v>14</v>
      </c>
      <c r="E7" s="6" t="s">
        <v>19</v>
      </c>
      <c r="F7" s="6" t="s">
        <v>20</v>
      </c>
      <c r="G7" s="6" t="s">
        <v>17</v>
      </c>
      <c r="H7" s="6" t="s">
        <v>23</v>
      </c>
      <c r="I7" s="6" t="s">
        <v>29</v>
      </c>
      <c r="J7" s="18">
        <f>K7/45</f>
        <v>191777.77777777778</v>
      </c>
      <c r="K7" s="18">
        <v>8630000</v>
      </c>
      <c r="L7" s="6"/>
      <c r="M7" s="7" t="s">
        <v>24</v>
      </c>
      <c r="N7" s="8" t="s">
        <v>195</v>
      </c>
      <c r="O7" s="58"/>
      <c r="P7" s="30">
        <v>4740228.8802806325</v>
      </c>
    </row>
    <row r="8" spans="2:16" ht="14.25" x14ac:dyDescent="0.2">
      <c r="B8" s="29" t="s">
        <v>12</v>
      </c>
      <c r="C8" s="6">
        <v>446</v>
      </c>
      <c r="D8" s="6" t="s">
        <v>14</v>
      </c>
      <c r="E8" s="6" t="s">
        <v>19</v>
      </c>
      <c r="F8" s="6" t="s">
        <v>20</v>
      </c>
      <c r="G8" s="6" t="s">
        <v>17</v>
      </c>
      <c r="H8" s="6" t="s">
        <v>22</v>
      </c>
      <c r="I8" s="6" t="s">
        <v>29</v>
      </c>
      <c r="J8" s="18">
        <f>K8/40</f>
        <v>132500</v>
      </c>
      <c r="K8" s="18">
        <v>5300000</v>
      </c>
      <c r="L8" s="6"/>
      <c r="M8" s="7" t="s">
        <v>25</v>
      </c>
      <c r="N8" s="8" t="s">
        <v>252</v>
      </c>
      <c r="O8" s="58"/>
      <c r="P8" s="30">
        <v>2370115.0641983673</v>
      </c>
    </row>
    <row r="9" spans="2:16" ht="14.25" x14ac:dyDescent="0.2">
      <c r="B9" s="29" t="s">
        <v>12</v>
      </c>
      <c r="C9" s="6">
        <v>446</v>
      </c>
      <c r="D9" s="6" t="s">
        <v>14</v>
      </c>
      <c r="E9" s="6" t="s">
        <v>19</v>
      </c>
      <c r="F9" s="6" t="s">
        <v>20</v>
      </c>
      <c r="G9" s="6" t="s">
        <v>17</v>
      </c>
      <c r="H9" s="6">
        <v>250</v>
      </c>
      <c r="I9" s="6" t="s">
        <v>29</v>
      </c>
      <c r="J9" s="18">
        <f>K9/H9</f>
        <v>74420</v>
      </c>
      <c r="K9" s="18">
        <v>18605000</v>
      </c>
      <c r="L9" s="6"/>
      <c r="M9" s="7" t="s">
        <v>26</v>
      </c>
      <c r="N9" s="8" t="s">
        <v>195</v>
      </c>
      <c r="O9" s="58"/>
      <c r="P9" s="45">
        <v>23221200.076152779</v>
      </c>
    </row>
    <row r="10" spans="2:16" ht="14.25" x14ac:dyDescent="0.2">
      <c r="B10" s="29" t="s">
        <v>12</v>
      </c>
      <c r="C10" s="6">
        <v>446</v>
      </c>
      <c r="D10" s="6" t="s">
        <v>14</v>
      </c>
      <c r="E10" s="6" t="s">
        <v>19</v>
      </c>
      <c r="F10" s="6" t="s">
        <v>20</v>
      </c>
      <c r="G10" s="6" t="s">
        <v>18</v>
      </c>
      <c r="H10" s="6" t="s">
        <v>21</v>
      </c>
      <c r="I10" s="6" t="s">
        <v>29</v>
      </c>
      <c r="J10" s="18">
        <v>50000</v>
      </c>
      <c r="K10" s="18">
        <f>250*J10</f>
        <v>12500000</v>
      </c>
      <c r="L10" s="6"/>
      <c r="M10" s="7" t="s">
        <v>244</v>
      </c>
      <c r="N10" s="8" t="s">
        <v>195</v>
      </c>
      <c r="O10" s="58"/>
      <c r="P10" s="30">
        <v>2084029.3800137243</v>
      </c>
    </row>
    <row r="11" spans="2:16" x14ac:dyDescent="0.2">
      <c r="B11" s="29" t="s">
        <v>12</v>
      </c>
      <c r="C11" s="6" t="s">
        <v>200</v>
      </c>
      <c r="D11" s="6" t="s">
        <v>201</v>
      </c>
      <c r="E11" s="6" t="s">
        <v>30</v>
      </c>
      <c r="F11" s="6" t="s">
        <v>20</v>
      </c>
      <c r="G11" s="6" t="s">
        <v>17</v>
      </c>
      <c r="H11" s="6">
        <v>280</v>
      </c>
      <c r="I11" s="6" t="s">
        <v>31</v>
      </c>
      <c r="J11" s="18">
        <f>K11/280</f>
        <v>59928.571428571428</v>
      </c>
      <c r="K11" s="18">
        <v>16780000</v>
      </c>
      <c r="L11" s="6"/>
      <c r="M11" s="7" t="s">
        <v>32</v>
      </c>
      <c r="N11" s="8"/>
      <c r="O11" s="58"/>
      <c r="P11" s="30">
        <v>27383270</v>
      </c>
    </row>
    <row r="12" spans="2:16" x14ac:dyDescent="0.2">
      <c r="B12" s="29" t="s">
        <v>12</v>
      </c>
      <c r="C12" s="6">
        <v>446</v>
      </c>
      <c r="D12" s="6" t="s">
        <v>14</v>
      </c>
      <c r="E12" s="6" t="s">
        <v>30</v>
      </c>
      <c r="F12" s="6" t="s">
        <v>20</v>
      </c>
      <c r="G12" s="6"/>
      <c r="H12" s="6">
        <v>310</v>
      </c>
      <c r="I12" s="6" t="s">
        <v>31</v>
      </c>
      <c r="J12" s="18">
        <f>K12/H12</f>
        <v>4516.1290322580644</v>
      </c>
      <c r="K12" s="18">
        <v>1400000</v>
      </c>
      <c r="L12" s="6"/>
      <c r="M12" s="7" t="s">
        <v>33</v>
      </c>
      <c r="N12" s="8"/>
      <c r="O12" s="58"/>
      <c r="P12" s="30">
        <v>3953518</v>
      </c>
    </row>
    <row r="13" spans="2:16" x14ac:dyDescent="0.2">
      <c r="B13" s="29" t="s">
        <v>12</v>
      </c>
      <c r="C13" s="6" t="s">
        <v>200</v>
      </c>
      <c r="D13" s="6" t="s">
        <v>201</v>
      </c>
      <c r="E13" s="6" t="s">
        <v>30</v>
      </c>
      <c r="F13" s="6" t="s">
        <v>34</v>
      </c>
      <c r="G13" s="6" t="s">
        <v>17</v>
      </c>
      <c r="H13" s="6">
        <f>2+2+1</f>
        <v>5</v>
      </c>
      <c r="I13" s="6" t="s">
        <v>36</v>
      </c>
      <c r="J13" s="18">
        <v>478346</v>
      </c>
      <c r="K13" s="18">
        <f>H13*J13</f>
        <v>2391730</v>
      </c>
      <c r="L13" s="6"/>
      <c r="M13" s="7" t="s">
        <v>234</v>
      </c>
      <c r="N13" s="8" t="s">
        <v>35</v>
      </c>
      <c r="O13" s="58"/>
      <c r="P13" s="30">
        <v>2985156.7244362743</v>
      </c>
    </row>
    <row r="14" spans="2:16" x14ac:dyDescent="0.2">
      <c r="B14" s="29" t="s">
        <v>12</v>
      </c>
      <c r="C14" s="6">
        <v>446</v>
      </c>
      <c r="D14" s="6" t="s">
        <v>14</v>
      </c>
      <c r="E14" s="6" t="s">
        <v>30</v>
      </c>
      <c r="F14" s="6" t="s">
        <v>34</v>
      </c>
      <c r="G14" s="6" t="s">
        <v>17</v>
      </c>
      <c r="H14" s="6">
        <v>2</v>
      </c>
      <c r="I14" s="6" t="s">
        <v>36</v>
      </c>
      <c r="J14" s="18">
        <v>556357</v>
      </c>
      <c r="K14" s="18">
        <f t="shared" ref="K14:K15" si="0">H14*J14</f>
        <v>1112714</v>
      </c>
      <c r="L14" s="6"/>
      <c r="M14" s="7" t="s">
        <v>237</v>
      </c>
      <c r="N14" s="8" t="s">
        <v>154</v>
      </c>
      <c r="O14" s="58"/>
      <c r="P14" s="30">
        <v>1388793.763995491</v>
      </c>
    </row>
    <row r="15" spans="2:16" x14ac:dyDescent="0.2">
      <c r="B15" s="29" t="s">
        <v>12</v>
      </c>
      <c r="C15" s="6" t="s">
        <v>200</v>
      </c>
      <c r="D15" s="6" t="s">
        <v>201</v>
      </c>
      <c r="E15" s="6" t="s">
        <v>30</v>
      </c>
      <c r="F15" s="6" t="s">
        <v>34</v>
      </c>
      <c r="G15" s="6" t="s">
        <v>17</v>
      </c>
      <c r="H15" s="6">
        <v>1</v>
      </c>
      <c r="I15" s="6" t="s">
        <v>36</v>
      </c>
      <c r="J15" s="18">
        <v>645922</v>
      </c>
      <c r="K15" s="18">
        <f t="shared" si="0"/>
        <v>645922</v>
      </c>
      <c r="L15" s="6"/>
      <c r="M15" s="7" t="s">
        <v>236</v>
      </c>
      <c r="N15" s="8" t="s">
        <v>235</v>
      </c>
      <c r="O15" s="58"/>
      <c r="P15" s="30">
        <v>806184.40066587902</v>
      </c>
    </row>
    <row r="16" spans="2:16" x14ac:dyDescent="0.2">
      <c r="B16" s="29" t="s">
        <v>12</v>
      </c>
      <c r="C16" s="6">
        <v>446</v>
      </c>
      <c r="D16" s="6" t="s">
        <v>14</v>
      </c>
      <c r="E16" s="6" t="s">
        <v>15</v>
      </c>
      <c r="F16" s="6" t="s">
        <v>37</v>
      </c>
      <c r="G16" s="6" t="s">
        <v>17</v>
      </c>
      <c r="H16" s="6">
        <v>1</v>
      </c>
      <c r="I16" s="6" t="s">
        <v>36</v>
      </c>
      <c r="J16" s="18">
        <v>526000</v>
      </c>
      <c r="K16" s="18">
        <f>J16*H16</f>
        <v>526000</v>
      </c>
      <c r="L16" s="6"/>
      <c r="M16" s="7" t="s">
        <v>219</v>
      </c>
      <c r="N16" s="8" t="s">
        <v>220</v>
      </c>
      <c r="O16" s="58"/>
      <c r="P16" s="30">
        <v>656509.06960797426</v>
      </c>
    </row>
    <row r="17" spans="2:16" x14ac:dyDescent="0.2">
      <c r="B17" s="29" t="s">
        <v>12</v>
      </c>
      <c r="C17" s="6" t="s">
        <v>200</v>
      </c>
      <c r="D17" s="6" t="s">
        <v>201</v>
      </c>
      <c r="E17" s="6" t="s">
        <v>15</v>
      </c>
      <c r="F17" s="6" t="s">
        <v>37</v>
      </c>
      <c r="G17" s="6" t="s">
        <v>17</v>
      </c>
      <c r="H17" s="6">
        <v>1</v>
      </c>
      <c r="I17" s="6" t="s">
        <v>36</v>
      </c>
      <c r="J17" s="18">
        <v>526000</v>
      </c>
      <c r="K17" s="18">
        <f>J17*H17</f>
        <v>526000</v>
      </c>
      <c r="L17" s="6"/>
      <c r="M17" s="7" t="s">
        <v>219</v>
      </c>
      <c r="N17" s="8" t="s">
        <v>220</v>
      </c>
      <c r="O17" s="58"/>
      <c r="P17" s="30">
        <v>656509.06960797426</v>
      </c>
    </row>
    <row r="18" spans="2:16" x14ac:dyDescent="0.2">
      <c r="B18" s="29" t="s">
        <v>12</v>
      </c>
      <c r="C18" s="6">
        <v>446</v>
      </c>
      <c r="D18" s="6" t="s">
        <v>14</v>
      </c>
      <c r="E18" s="6" t="s">
        <v>39</v>
      </c>
      <c r="F18" s="6" t="s">
        <v>37</v>
      </c>
      <c r="G18" s="15" t="s">
        <v>18</v>
      </c>
      <c r="H18" s="6">
        <v>2</v>
      </c>
      <c r="I18" s="6" t="s">
        <v>36</v>
      </c>
      <c r="J18" s="18">
        <v>3000000</v>
      </c>
      <c r="K18" s="18">
        <f>H18*J18</f>
        <v>6000000</v>
      </c>
      <c r="L18" s="6"/>
      <c r="M18" s="7" t="s">
        <v>254</v>
      </c>
      <c r="N18" s="8" t="s">
        <v>253</v>
      </c>
      <c r="O18" s="58"/>
      <c r="P18" s="30">
        <v>18960918.017354734</v>
      </c>
    </row>
    <row r="19" spans="2:16" x14ac:dyDescent="0.2">
      <c r="B19" s="29" t="s">
        <v>12</v>
      </c>
      <c r="C19" s="6">
        <v>446</v>
      </c>
      <c r="D19" s="6" t="s">
        <v>14</v>
      </c>
      <c r="E19" s="6" t="s">
        <v>39</v>
      </c>
      <c r="F19" s="6" t="s">
        <v>34</v>
      </c>
      <c r="G19" s="6" t="s">
        <v>17</v>
      </c>
      <c r="H19" s="6">
        <v>3</v>
      </c>
      <c r="I19" s="6" t="s">
        <v>36</v>
      </c>
      <c r="J19" s="18">
        <v>650687</v>
      </c>
      <c r="K19" s="18">
        <f>H19*J19</f>
        <v>1952061</v>
      </c>
      <c r="L19" s="6"/>
      <c r="M19" s="9" t="s">
        <v>85</v>
      </c>
      <c r="N19" s="21" t="s">
        <v>41</v>
      </c>
      <c r="O19" s="59"/>
      <c r="P19" s="30">
        <v>2436398.7660228363</v>
      </c>
    </row>
    <row r="20" spans="2:16" x14ac:dyDescent="0.2">
      <c r="B20" s="29" t="s">
        <v>12</v>
      </c>
      <c r="C20" s="6">
        <v>446</v>
      </c>
      <c r="D20" s="6" t="s">
        <v>14</v>
      </c>
      <c r="E20" s="6" t="s">
        <v>39</v>
      </c>
      <c r="F20" s="6" t="s">
        <v>34</v>
      </c>
      <c r="G20" s="6" t="s">
        <v>17</v>
      </c>
      <c r="H20" s="6">
        <v>5</v>
      </c>
      <c r="I20" s="6" t="s">
        <v>36</v>
      </c>
      <c r="J20" s="18"/>
      <c r="K20" s="18"/>
      <c r="L20" s="6"/>
      <c r="M20" s="7" t="s">
        <v>261</v>
      </c>
      <c r="N20" s="21" t="s">
        <v>42</v>
      </c>
      <c r="O20" s="59"/>
      <c r="P20" s="30">
        <v>3385876.8801175221</v>
      </c>
    </row>
    <row r="21" spans="2:16" x14ac:dyDescent="0.2">
      <c r="B21" s="29" t="s">
        <v>12</v>
      </c>
      <c r="C21" s="6">
        <v>446</v>
      </c>
      <c r="D21" s="6" t="s">
        <v>14</v>
      </c>
      <c r="E21" s="6" t="s">
        <v>39</v>
      </c>
      <c r="F21" s="6" t="s">
        <v>34</v>
      </c>
      <c r="G21" s="6" t="s">
        <v>17</v>
      </c>
      <c r="H21" s="6">
        <v>2</v>
      </c>
      <c r="I21" s="6" t="s">
        <v>36</v>
      </c>
      <c r="J21" s="18"/>
      <c r="K21" s="18"/>
      <c r="L21" s="6"/>
      <c r="M21" s="7" t="s">
        <v>261</v>
      </c>
      <c r="N21" s="21" t="s">
        <v>44</v>
      </c>
      <c r="O21" s="59"/>
      <c r="P21" s="30">
        <v>1354350.7520470088</v>
      </c>
    </row>
    <row r="22" spans="2:16" ht="15.75" x14ac:dyDescent="0.3">
      <c r="B22" s="29" t="s">
        <v>12</v>
      </c>
      <c r="C22" s="6">
        <v>446</v>
      </c>
      <c r="D22" s="6" t="s">
        <v>14</v>
      </c>
      <c r="E22" s="6" t="s">
        <v>39</v>
      </c>
      <c r="F22" s="6" t="s">
        <v>37</v>
      </c>
      <c r="G22" s="6" t="s">
        <v>17</v>
      </c>
      <c r="H22" s="6">
        <v>2</v>
      </c>
      <c r="I22" s="6" t="s">
        <v>36</v>
      </c>
      <c r="J22" s="18">
        <v>168000</v>
      </c>
      <c r="K22" s="18">
        <f>H22*J22</f>
        <v>336000</v>
      </c>
      <c r="L22" s="6"/>
      <c r="M22" s="7" t="s">
        <v>45</v>
      </c>
      <c r="N22" s="21" t="s">
        <v>188</v>
      </c>
      <c r="O22" s="59"/>
      <c r="P22" s="30">
        <v>461802.95770903135</v>
      </c>
    </row>
    <row r="23" spans="2:16" x14ac:dyDescent="0.2">
      <c r="B23" s="29" t="s">
        <v>12</v>
      </c>
      <c r="C23" s="6">
        <v>446</v>
      </c>
      <c r="D23" s="6" t="s">
        <v>14</v>
      </c>
      <c r="E23" s="6" t="s">
        <v>39</v>
      </c>
      <c r="F23" s="6" t="s">
        <v>37</v>
      </c>
      <c r="G23" s="6" t="s">
        <v>17</v>
      </c>
      <c r="H23" s="6">
        <v>2800</v>
      </c>
      <c r="I23" s="6" t="s">
        <v>46</v>
      </c>
      <c r="J23" s="18">
        <v>5710000</v>
      </c>
      <c r="K23" s="18">
        <f>2*J23</f>
        <v>11420000</v>
      </c>
      <c r="L23" s="6"/>
      <c r="M23" s="7" t="s">
        <v>47</v>
      </c>
      <c r="N23" s="21" t="s">
        <v>137</v>
      </c>
      <c r="O23" s="59"/>
      <c r="P23" s="30">
        <v>14253485.883884156</v>
      </c>
    </row>
    <row r="24" spans="2:16" x14ac:dyDescent="0.2">
      <c r="B24" s="29" t="s">
        <v>12</v>
      </c>
      <c r="C24" s="6">
        <v>446</v>
      </c>
      <c r="D24" s="6" t="s">
        <v>14</v>
      </c>
      <c r="E24" s="6" t="s">
        <v>39</v>
      </c>
      <c r="F24" s="6" t="s">
        <v>37</v>
      </c>
      <c r="G24" s="6" t="s">
        <v>17</v>
      </c>
      <c r="H24" s="6">
        <v>2800</v>
      </c>
      <c r="I24" s="6" t="s">
        <v>46</v>
      </c>
      <c r="J24" s="18">
        <v>5710000</v>
      </c>
      <c r="K24" s="18">
        <f>2*J24</f>
        <v>11420000</v>
      </c>
      <c r="L24" s="6"/>
      <c r="M24" s="7" t="s">
        <v>47</v>
      </c>
      <c r="N24" s="21" t="s">
        <v>138</v>
      </c>
      <c r="O24" s="59"/>
      <c r="P24" s="30">
        <v>14253485.883884156</v>
      </c>
    </row>
    <row r="25" spans="2:16" x14ac:dyDescent="0.2">
      <c r="B25" s="29" t="s">
        <v>12</v>
      </c>
      <c r="C25" s="6">
        <v>446</v>
      </c>
      <c r="D25" s="6" t="s">
        <v>14</v>
      </c>
      <c r="E25" s="6" t="s">
        <v>39</v>
      </c>
      <c r="F25" s="6" t="s">
        <v>34</v>
      </c>
      <c r="G25" s="6" t="s">
        <v>17</v>
      </c>
      <c r="H25" s="6">
        <v>3</v>
      </c>
      <c r="I25" s="6" t="s">
        <v>36</v>
      </c>
      <c r="J25" s="18">
        <v>89444</v>
      </c>
      <c r="K25" s="18">
        <f t="shared" ref="K25:K30" si="1">H25*J25</f>
        <v>268332</v>
      </c>
      <c r="L25" s="6"/>
      <c r="M25" s="7" t="s">
        <v>49</v>
      </c>
      <c r="N25" s="21" t="s">
        <v>48</v>
      </c>
      <c r="O25" s="59"/>
      <c r="P25" s="30">
        <v>334909.48985940486</v>
      </c>
    </row>
    <row r="26" spans="2:16" x14ac:dyDescent="0.2">
      <c r="B26" s="29" t="s">
        <v>12</v>
      </c>
      <c r="C26" s="6">
        <v>446</v>
      </c>
      <c r="D26" s="6" t="s">
        <v>14</v>
      </c>
      <c r="E26" s="6" t="s">
        <v>39</v>
      </c>
      <c r="F26" s="6" t="s">
        <v>37</v>
      </c>
      <c r="G26" s="6" t="s">
        <v>17</v>
      </c>
      <c r="H26" s="6">
        <v>2</v>
      </c>
      <c r="I26" s="6" t="s">
        <v>36</v>
      </c>
      <c r="J26" s="18">
        <f>4538*315</f>
        <v>1429470</v>
      </c>
      <c r="K26" s="18">
        <f t="shared" si="1"/>
        <v>2858940</v>
      </c>
      <c r="L26" s="6"/>
      <c r="M26" s="7" t="s">
        <v>50</v>
      </c>
      <c r="N26" s="21" t="s">
        <v>248</v>
      </c>
      <c r="O26" s="59"/>
      <c r="P26" s="30">
        <v>3568289.0484125894</v>
      </c>
    </row>
    <row r="27" spans="2:16" x14ac:dyDescent="0.2">
      <c r="B27" s="29" t="s">
        <v>12</v>
      </c>
      <c r="C27" s="6">
        <v>446</v>
      </c>
      <c r="D27" s="6" t="s">
        <v>14</v>
      </c>
      <c r="E27" s="6" t="s">
        <v>39</v>
      </c>
      <c r="F27" s="6" t="s">
        <v>37</v>
      </c>
      <c r="G27" s="6" t="s">
        <v>17</v>
      </c>
      <c r="H27" s="6">
        <v>2</v>
      </c>
      <c r="I27" s="6" t="s">
        <v>36</v>
      </c>
      <c r="J27" s="18">
        <f>3591*315</f>
        <v>1131165</v>
      </c>
      <c r="K27" s="18">
        <f t="shared" si="1"/>
        <v>2262330</v>
      </c>
      <c r="L27" s="6"/>
      <c r="M27" s="7" t="s">
        <v>51</v>
      </c>
      <c r="N27" s="21" t="s">
        <v>256</v>
      </c>
      <c r="O27" s="59"/>
      <c r="P27" s="30">
        <v>2823650.5008483049</v>
      </c>
    </row>
    <row r="28" spans="2:16" x14ac:dyDescent="0.2">
      <c r="B28" s="29" t="s">
        <v>12</v>
      </c>
      <c r="C28" s="6">
        <v>446</v>
      </c>
      <c r="D28" s="6" t="s">
        <v>14</v>
      </c>
      <c r="E28" s="6" t="s">
        <v>39</v>
      </c>
      <c r="F28" s="6" t="s">
        <v>37</v>
      </c>
      <c r="G28" s="6" t="s">
        <v>17</v>
      </c>
      <c r="H28" s="6">
        <v>2</v>
      </c>
      <c r="I28" s="6" t="s">
        <v>36</v>
      </c>
      <c r="J28" s="18">
        <f>754*315</f>
        <v>237510</v>
      </c>
      <c r="K28" s="18">
        <f t="shared" si="1"/>
        <v>475020</v>
      </c>
      <c r="L28" s="6"/>
      <c r="M28" s="7" t="s">
        <v>52</v>
      </c>
      <c r="N28" s="21" t="s">
        <v>257</v>
      </c>
      <c r="O28" s="59"/>
      <c r="P28" s="30">
        <v>592880.11073228123</v>
      </c>
    </row>
    <row r="29" spans="2:16" x14ac:dyDescent="0.2">
      <c r="B29" s="29" t="s">
        <v>12</v>
      </c>
      <c r="C29" s="6">
        <v>446</v>
      </c>
      <c r="D29" s="6" t="s">
        <v>14</v>
      </c>
      <c r="E29" s="6" t="s">
        <v>39</v>
      </c>
      <c r="F29" s="6" t="s">
        <v>37</v>
      </c>
      <c r="G29" s="6" t="s">
        <v>17</v>
      </c>
      <c r="H29" s="6">
        <v>1</v>
      </c>
      <c r="I29" s="6" t="s">
        <v>36</v>
      </c>
      <c r="J29" s="18">
        <f>3850*315</f>
        <v>1212750</v>
      </c>
      <c r="K29" s="18">
        <f t="shared" si="1"/>
        <v>1212750</v>
      </c>
      <c r="L29" s="6"/>
      <c r="M29" s="7" t="s">
        <v>54</v>
      </c>
      <c r="N29" s="21" t="s">
        <v>53</v>
      </c>
      <c r="O29" s="59"/>
      <c r="P29" s="30">
        <v>1376048.0023627218</v>
      </c>
    </row>
    <row r="30" spans="2:16" x14ac:dyDescent="0.2">
      <c r="B30" s="29" t="s">
        <v>12</v>
      </c>
      <c r="C30" s="6">
        <v>446</v>
      </c>
      <c r="D30" s="6" t="s">
        <v>14</v>
      </c>
      <c r="E30" s="6" t="s">
        <v>39</v>
      </c>
      <c r="F30" s="6" t="s">
        <v>34</v>
      </c>
      <c r="G30" s="6" t="s">
        <v>17</v>
      </c>
      <c r="H30" s="6">
        <v>2</v>
      </c>
      <c r="I30" s="6" t="s">
        <v>36</v>
      </c>
      <c r="J30" s="18">
        <v>89444</v>
      </c>
      <c r="K30" s="18">
        <f t="shared" si="1"/>
        <v>178888</v>
      </c>
      <c r="L30" s="6"/>
      <c r="M30" s="7" t="s">
        <v>56</v>
      </c>
      <c r="N30" s="21" t="s">
        <v>55</v>
      </c>
      <c r="O30" s="59"/>
      <c r="P30" s="30">
        <v>236852.49642845261</v>
      </c>
    </row>
    <row r="31" spans="2:16" x14ac:dyDescent="0.2">
      <c r="B31" s="29" t="s">
        <v>12</v>
      </c>
      <c r="C31" s="6">
        <v>446</v>
      </c>
      <c r="D31" s="6" t="s">
        <v>14</v>
      </c>
      <c r="E31" s="6" t="s">
        <v>39</v>
      </c>
      <c r="F31" s="6" t="s">
        <v>34</v>
      </c>
      <c r="G31" s="6" t="s">
        <v>17</v>
      </c>
      <c r="H31" s="6">
        <v>3</v>
      </c>
      <c r="I31" s="6" t="s">
        <v>36</v>
      </c>
      <c r="J31" s="18">
        <v>505474</v>
      </c>
      <c r="K31" s="18">
        <f t="shared" ref="K31:K32" si="2">H31*J31</f>
        <v>1516422</v>
      </c>
      <c r="L31" s="6"/>
      <c r="M31" s="7" t="s">
        <v>59</v>
      </c>
      <c r="N31" s="21" t="s">
        <v>58</v>
      </c>
      <c r="O31" s="59"/>
      <c r="P31" s="30">
        <v>1892670.715500121</v>
      </c>
    </row>
    <row r="32" spans="2:16" x14ac:dyDescent="0.2">
      <c r="B32" s="29" t="s">
        <v>12</v>
      </c>
      <c r="C32" s="6">
        <v>446</v>
      </c>
      <c r="D32" s="6" t="s">
        <v>14</v>
      </c>
      <c r="E32" s="6" t="s">
        <v>39</v>
      </c>
      <c r="F32" s="6" t="s">
        <v>34</v>
      </c>
      <c r="G32" s="6" t="s">
        <v>17</v>
      </c>
      <c r="H32" s="6">
        <v>2</v>
      </c>
      <c r="I32" s="6" t="s">
        <v>36</v>
      </c>
      <c r="J32" s="18">
        <v>250645</v>
      </c>
      <c r="K32" s="18">
        <f t="shared" si="2"/>
        <v>501290</v>
      </c>
      <c r="L32" s="6"/>
      <c r="M32" s="7" t="s">
        <v>60</v>
      </c>
      <c r="N32" s="21" t="s">
        <v>262</v>
      </c>
      <c r="O32" s="59"/>
      <c r="P32" s="30">
        <v>625668.12072962255</v>
      </c>
    </row>
    <row r="33" spans="2:16" x14ac:dyDescent="0.2">
      <c r="B33" s="29" t="s">
        <v>12</v>
      </c>
      <c r="C33" s="6">
        <v>446</v>
      </c>
      <c r="D33" s="6" t="s">
        <v>14</v>
      </c>
      <c r="E33" s="6" t="s">
        <v>39</v>
      </c>
      <c r="F33" s="6" t="s">
        <v>37</v>
      </c>
      <c r="G33" s="6" t="s">
        <v>17</v>
      </c>
      <c r="H33" s="4">
        <f>4+18</f>
        <v>22</v>
      </c>
      <c r="I33" s="6" t="s">
        <v>36</v>
      </c>
      <c r="J33" s="18">
        <v>15394</v>
      </c>
      <c r="K33" s="18">
        <f>H33*J33</f>
        <v>338668</v>
      </c>
      <c r="L33" s="6"/>
      <c r="M33" s="3" t="s">
        <v>61</v>
      </c>
      <c r="N33" s="8" t="s">
        <v>62</v>
      </c>
      <c r="O33" s="58"/>
      <c r="P33" s="30">
        <v>422696.98400378984</v>
      </c>
    </row>
    <row r="34" spans="2:16" x14ac:dyDescent="0.2">
      <c r="B34" s="29" t="s">
        <v>12</v>
      </c>
      <c r="C34" s="6">
        <v>446</v>
      </c>
      <c r="D34" s="6" t="s">
        <v>14</v>
      </c>
      <c r="E34" s="6" t="s">
        <v>39</v>
      </c>
      <c r="F34" s="6" t="s">
        <v>37</v>
      </c>
      <c r="G34" s="6" t="s">
        <v>17</v>
      </c>
      <c r="H34" s="4">
        <f>11+20</f>
        <v>31</v>
      </c>
      <c r="I34" s="6" t="s">
        <v>36</v>
      </c>
      <c r="J34" s="18">
        <v>23256</v>
      </c>
      <c r="K34" s="18">
        <f t="shared" ref="K34:K35" si="3">H34*J34</f>
        <v>720936</v>
      </c>
      <c r="L34" s="6"/>
      <c r="M34" s="3" t="s">
        <v>61</v>
      </c>
      <c r="N34" s="8" t="s">
        <v>63</v>
      </c>
      <c r="O34" s="58"/>
      <c r="P34" s="30">
        <v>899811.83005113038</v>
      </c>
    </row>
    <row r="35" spans="2:16" x14ac:dyDescent="0.2">
      <c r="B35" s="29" t="s">
        <v>12</v>
      </c>
      <c r="C35" s="6">
        <v>446</v>
      </c>
      <c r="D35" s="6" t="s">
        <v>14</v>
      </c>
      <c r="E35" s="6" t="s">
        <v>39</v>
      </c>
      <c r="F35" s="6" t="s">
        <v>37</v>
      </c>
      <c r="G35" s="6" t="s">
        <v>17</v>
      </c>
      <c r="H35" s="4">
        <v>2</v>
      </c>
      <c r="I35" s="6" t="s">
        <v>36</v>
      </c>
      <c r="J35" s="18">
        <v>31952</v>
      </c>
      <c r="K35" s="18">
        <f t="shared" si="3"/>
        <v>63904</v>
      </c>
      <c r="L35" s="6"/>
      <c r="M35" s="3" t="s">
        <v>61</v>
      </c>
      <c r="N35" s="8" t="s">
        <v>64</v>
      </c>
      <c r="O35" s="58"/>
      <c r="P35" s="30">
        <v>79759.611376859291</v>
      </c>
    </row>
    <row r="36" spans="2:16" x14ac:dyDescent="0.2">
      <c r="B36" s="29" t="s">
        <v>12</v>
      </c>
      <c r="C36" s="6">
        <v>446</v>
      </c>
      <c r="D36" s="6" t="s">
        <v>14</v>
      </c>
      <c r="E36" s="6" t="s">
        <v>39</v>
      </c>
      <c r="F36" s="6" t="s">
        <v>34</v>
      </c>
      <c r="G36" s="6" t="s">
        <v>17</v>
      </c>
      <c r="H36" s="4">
        <v>5</v>
      </c>
      <c r="I36" s="6" t="s">
        <v>36</v>
      </c>
      <c r="J36" s="18">
        <v>93664</v>
      </c>
      <c r="K36" s="18">
        <f>H36*J36</f>
        <v>468320</v>
      </c>
      <c r="L36" s="6"/>
      <c r="M36" s="3" t="s">
        <v>65</v>
      </c>
      <c r="N36" s="8" t="s">
        <v>62</v>
      </c>
      <c r="O36" s="58"/>
      <c r="P36" s="30">
        <v>584517.73284944205</v>
      </c>
    </row>
    <row r="37" spans="2:16" x14ac:dyDescent="0.2">
      <c r="B37" s="29" t="s">
        <v>12</v>
      </c>
      <c r="C37" s="6">
        <v>446</v>
      </c>
      <c r="D37" s="6" t="s">
        <v>14</v>
      </c>
      <c r="E37" s="6" t="s">
        <v>39</v>
      </c>
      <c r="F37" s="6" t="s">
        <v>34</v>
      </c>
      <c r="G37" s="6" t="s">
        <v>17</v>
      </c>
      <c r="H37" s="4">
        <v>20</v>
      </c>
      <c r="I37" s="6" t="s">
        <v>36</v>
      </c>
      <c r="J37" s="18">
        <v>135331</v>
      </c>
      <c r="K37" s="18">
        <f t="shared" ref="K37:K38" si="4">H37*J37</f>
        <v>2706620</v>
      </c>
      <c r="L37" s="6"/>
      <c r="M37" s="3" t="s">
        <v>65</v>
      </c>
      <c r="N37" s="8" t="s">
        <v>63</v>
      </c>
      <c r="O37" s="58"/>
      <c r="P37" s="30">
        <v>3378176.0037686983</v>
      </c>
    </row>
    <row r="38" spans="2:16" x14ac:dyDescent="0.2">
      <c r="B38" s="29" t="s">
        <v>12</v>
      </c>
      <c r="C38" s="6">
        <v>446</v>
      </c>
      <c r="D38" s="6" t="s">
        <v>14</v>
      </c>
      <c r="E38" s="6" t="s">
        <v>39</v>
      </c>
      <c r="F38" s="6" t="s">
        <v>34</v>
      </c>
      <c r="G38" s="6" t="s">
        <v>17</v>
      </c>
      <c r="H38" s="4">
        <v>5</v>
      </c>
      <c r="I38" s="6" t="s">
        <v>36</v>
      </c>
      <c r="J38" s="18">
        <v>158968</v>
      </c>
      <c r="K38" s="18">
        <f t="shared" si="4"/>
        <v>794840</v>
      </c>
      <c r="L38" s="6"/>
      <c r="M38" s="3" t="s">
        <v>65</v>
      </c>
      <c r="N38" s="8" t="s">
        <v>64</v>
      </c>
      <c r="O38" s="58"/>
      <c r="P38" s="30">
        <v>992052.6024471526</v>
      </c>
    </row>
    <row r="39" spans="2:16" x14ac:dyDescent="0.2">
      <c r="B39" s="29" t="s">
        <v>12</v>
      </c>
      <c r="C39" s="6">
        <v>446</v>
      </c>
      <c r="D39" s="6" t="s">
        <v>14</v>
      </c>
      <c r="E39" s="6" t="s">
        <v>39</v>
      </c>
      <c r="F39" s="6" t="s">
        <v>37</v>
      </c>
      <c r="G39" s="6" t="s">
        <v>17</v>
      </c>
      <c r="H39" s="4">
        <v>5</v>
      </c>
      <c r="I39" s="6" t="s">
        <v>36</v>
      </c>
      <c r="J39" s="18">
        <f>17921</f>
        <v>17921</v>
      </c>
      <c r="K39" s="18">
        <f>H39*J39</f>
        <v>89605</v>
      </c>
      <c r="L39" s="6"/>
      <c r="M39" s="3" t="s">
        <v>66</v>
      </c>
      <c r="N39" s="8" t="s">
        <v>67</v>
      </c>
      <c r="O39" s="58"/>
      <c r="P39" s="30">
        <v>111837.44331221015</v>
      </c>
    </row>
    <row r="40" spans="2:16" x14ac:dyDescent="0.2">
      <c r="B40" s="29" t="s">
        <v>12</v>
      </c>
      <c r="C40" s="6">
        <v>446</v>
      </c>
      <c r="D40" s="6" t="s">
        <v>14</v>
      </c>
      <c r="E40" s="6" t="s">
        <v>39</v>
      </c>
      <c r="F40" s="6" t="s">
        <v>37</v>
      </c>
      <c r="G40" s="6" t="s">
        <v>17</v>
      </c>
      <c r="H40" s="4">
        <v>5</v>
      </c>
      <c r="I40" s="6" t="s">
        <v>36</v>
      </c>
      <c r="J40" s="18">
        <v>22695</v>
      </c>
      <c r="K40" s="18">
        <f>H40*J40</f>
        <v>113475</v>
      </c>
      <c r="L40" s="6"/>
      <c r="M40" s="3" t="s">
        <v>66</v>
      </c>
      <c r="N40" s="8" t="s">
        <v>62</v>
      </c>
      <c r="O40" s="58"/>
      <c r="P40" s="30">
        <v>143314.93140253925</v>
      </c>
    </row>
    <row r="41" spans="2:16" x14ac:dyDescent="0.2">
      <c r="B41" s="29" t="s">
        <v>12</v>
      </c>
      <c r="C41" s="6">
        <v>446</v>
      </c>
      <c r="D41" s="6" t="s">
        <v>14</v>
      </c>
      <c r="E41" s="6" t="s">
        <v>39</v>
      </c>
      <c r="F41" s="6" t="s">
        <v>37</v>
      </c>
      <c r="G41" s="6" t="s">
        <v>17</v>
      </c>
      <c r="H41" s="4">
        <v>5</v>
      </c>
      <c r="I41" s="6" t="s">
        <v>36</v>
      </c>
      <c r="J41" s="18">
        <v>31530</v>
      </c>
      <c r="K41" s="18">
        <f>J41*H41</f>
        <v>157650</v>
      </c>
      <c r="L41" s="6"/>
      <c r="M41" s="3" t="s">
        <v>66</v>
      </c>
      <c r="N41" s="8" t="s">
        <v>63</v>
      </c>
      <c r="O41" s="58"/>
      <c r="P41" s="30">
        <v>196765.50346710483</v>
      </c>
    </row>
    <row r="42" spans="2:16" x14ac:dyDescent="0.2">
      <c r="B42" s="29" t="s">
        <v>12</v>
      </c>
      <c r="C42" s="6">
        <v>446</v>
      </c>
      <c r="D42" s="6" t="s">
        <v>14</v>
      </c>
      <c r="E42" s="6" t="s">
        <v>15</v>
      </c>
      <c r="F42" s="6" t="s">
        <v>37</v>
      </c>
      <c r="G42" s="6" t="s">
        <v>17</v>
      </c>
      <c r="H42" s="4">
        <f>6+4</f>
        <v>10</v>
      </c>
      <c r="I42" s="6" t="s">
        <v>36</v>
      </c>
      <c r="J42" s="18">
        <v>27495</v>
      </c>
      <c r="K42" s="18">
        <f t="shared" ref="K42:K48" si="5">H42*J42</f>
        <v>274950</v>
      </c>
      <c r="L42" s="6"/>
      <c r="M42" s="7" t="s">
        <v>129</v>
      </c>
      <c r="N42" s="8" t="s">
        <v>67</v>
      </c>
      <c r="O42" s="58"/>
      <c r="P42" s="30">
        <v>338551.49264479661</v>
      </c>
    </row>
    <row r="43" spans="2:16" x14ac:dyDescent="0.2">
      <c r="B43" s="29" t="s">
        <v>12</v>
      </c>
      <c r="C43" s="6">
        <v>446</v>
      </c>
      <c r="D43" s="6" t="s">
        <v>14</v>
      </c>
      <c r="E43" s="6" t="s">
        <v>15</v>
      </c>
      <c r="F43" s="6" t="s">
        <v>37</v>
      </c>
      <c r="G43" s="6" t="s">
        <v>17</v>
      </c>
      <c r="H43" s="4">
        <f>2</f>
        <v>2</v>
      </c>
      <c r="I43" s="6" t="s">
        <v>36</v>
      </c>
      <c r="J43" s="18">
        <v>32948</v>
      </c>
      <c r="K43" s="18">
        <f t="shared" si="5"/>
        <v>65896</v>
      </c>
      <c r="L43" s="6"/>
      <c r="M43" s="7" t="s">
        <v>129</v>
      </c>
      <c r="N43" s="8" t="s">
        <v>62</v>
      </c>
      <c r="O43" s="58"/>
      <c r="P43" s="30">
        <v>79856.964432808774</v>
      </c>
    </row>
    <row r="44" spans="2:16" x14ac:dyDescent="0.2">
      <c r="B44" s="29" t="s">
        <v>12</v>
      </c>
      <c r="C44" s="6">
        <v>446</v>
      </c>
      <c r="D44" s="6" t="s">
        <v>14</v>
      </c>
      <c r="E44" s="6" t="s">
        <v>15</v>
      </c>
      <c r="F44" s="6" t="s">
        <v>37</v>
      </c>
      <c r="G44" s="6" t="s">
        <v>17</v>
      </c>
      <c r="H44" s="4">
        <f>2</f>
        <v>2</v>
      </c>
      <c r="I44" s="6" t="s">
        <v>36</v>
      </c>
      <c r="J44" s="18">
        <v>51743</v>
      </c>
      <c r="K44" s="18">
        <f t="shared" si="5"/>
        <v>103486</v>
      </c>
      <c r="L44" s="6"/>
      <c r="M44" s="7" t="s">
        <v>129</v>
      </c>
      <c r="N44" s="8" t="s">
        <v>63</v>
      </c>
      <c r="O44" s="58"/>
      <c r="P44" s="30">
        <v>131826.02268439971</v>
      </c>
    </row>
    <row r="45" spans="2:16" x14ac:dyDescent="0.2">
      <c r="B45" s="29" t="s">
        <v>12</v>
      </c>
      <c r="C45" s="6">
        <v>446</v>
      </c>
      <c r="D45" s="6" t="s">
        <v>14</v>
      </c>
      <c r="E45" s="6" t="s">
        <v>15</v>
      </c>
      <c r="F45" s="6" t="s">
        <v>37</v>
      </c>
      <c r="G45" s="6" t="s">
        <v>17</v>
      </c>
      <c r="H45" s="4">
        <v>10</v>
      </c>
      <c r="I45" s="6" t="s">
        <v>36</v>
      </c>
      <c r="J45" s="18">
        <v>76350</v>
      </c>
      <c r="K45" s="18">
        <f t="shared" si="5"/>
        <v>763500</v>
      </c>
      <c r="L45" s="6"/>
      <c r="M45" s="7" t="s">
        <v>129</v>
      </c>
      <c r="N45" s="8" t="s">
        <v>64</v>
      </c>
      <c r="O45" s="58"/>
      <c r="P45" s="30">
        <v>1023305.4296391369</v>
      </c>
    </row>
    <row r="46" spans="2:16" x14ac:dyDescent="0.2">
      <c r="B46" s="29" t="s">
        <v>12</v>
      </c>
      <c r="C46" s="6">
        <v>446</v>
      </c>
      <c r="D46" s="6" t="s">
        <v>14</v>
      </c>
      <c r="E46" s="6" t="s">
        <v>15</v>
      </c>
      <c r="F46" s="6" t="s">
        <v>37</v>
      </c>
      <c r="G46" s="6" t="s">
        <v>17</v>
      </c>
      <c r="H46" s="4">
        <v>2</v>
      </c>
      <c r="I46" s="6" t="s">
        <v>36</v>
      </c>
      <c r="J46" s="18">
        <v>182925</v>
      </c>
      <c r="K46" s="18">
        <f t="shared" si="5"/>
        <v>365850</v>
      </c>
      <c r="L46" s="6"/>
      <c r="M46" s="7" t="s">
        <v>129</v>
      </c>
      <c r="N46" s="8" t="s">
        <v>68</v>
      </c>
      <c r="O46" s="58"/>
      <c r="P46" s="30">
        <v>329130.71230753238</v>
      </c>
    </row>
    <row r="47" spans="2:16" x14ac:dyDescent="0.2">
      <c r="B47" s="29" t="s">
        <v>12</v>
      </c>
      <c r="C47" s="6">
        <v>446</v>
      </c>
      <c r="D47" s="6" t="s">
        <v>14</v>
      </c>
      <c r="E47" s="6" t="s">
        <v>39</v>
      </c>
      <c r="F47" s="6" t="s">
        <v>37</v>
      </c>
      <c r="G47" s="6" t="s">
        <v>17</v>
      </c>
      <c r="H47" s="6">
        <v>1</v>
      </c>
      <c r="I47" s="6" t="s">
        <v>36</v>
      </c>
      <c r="J47" s="18">
        <v>7800</v>
      </c>
      <c r="K47" s="18">
        <f t="shared" si="5"/>
        <v>7800</v>
      </c>
      <c r="L47" s="6"/>
      <c r="M47" s="7" t="s">
        <v>69</v>
      </c>
      <c r="N47" s="8" t="s">
        <v>70</v>
      </c>
      <c r="O47" s="58"/>
      <c r="P47" s="30">
        <v>41437.454583621191</v>
      </c>
    </row>
    <row r="48" spans="2:16" x14ac:dyDescent="0.2">
      <c r="B48" s="29" t="s">
        <v>12</v>
      </c>
      <c r="C48" s="6">
        <v>446</v>
      </c>
      <c r="D48" s="6" t="s">
        <v>14</v>
      </c>
      <c r="E48" s="6" t="s">
        <v>39</v>
      </c>
      <c r="F48" s="6" t="s">
        <v>37</v>
      </c>
      <c r="G48" s="6" t="s">
        <v>17</v>
      </c>
      <c r="H48" s="6">
        <v>3</v>
      </c>
      <c r="I48" s="6" t="s">
        <v>36</v>
      </c>
      <c r="J48" s="18">
        <v>94450</v>
      </c>
      <c r="K48" s="18">
        <f t="shared" si="5"/>
        <v>283350</v>
      </c>
      <c r="L48" s="6"/>
      <c r="M48" s="7" t="s">
        <v>231</v>
      </c>
      <c r="N48" s="8" t="s">
        <v>67</v>
      </c>
      <c r="O48" s="58"/>
      <c r="P48" s="30">
        <v>353653.69747798389</v>
      </c>
    </row>
    <row r="49" spans="2:16" x14ac:dyDescent="0.2">
      <c r="B49" s="29" t="s">
        <v>12</v>
      </c>
      <c r="C49" s="6">
        <v>446</v>
      </c>
      <c r="D49" s="6" t="s">
        <v>14</v>
      </c>
      <c r="E49" s="6" t="s">
        <v>39</v>
      </c>
      <c r="F49" s="6" t="s">
        <v>37</v>
      </c>
      <c r="G49" s="6" t="s">
        <v>17</v>
      </c>
      <c r="H49" s="6">
        <v>3</v>
      </c>
      <c r="I49" s="6" t="s">
        <v>36</v>
      </c>
      <c r="J49" s="18">
        <v>108190</v>
      </c>
      <c r="K49" s="18">
        <f t="shared" ref="K49:K51" si="6">H49*J49</f>
        <v>324570</v>
      </c>
      <c r="L49" s="6"/>
      <c r="M49" s="7" t="s">
        <v>231</v>
      </c>
      <c r="N49" s="8" t="s">
        <v>62</v>
      </c>
      <c r="O49" s="58"/>
      <c r="P49" s="30">
        <v>405101.04319897381</v>
      </c>
    </row>
    <row r="50" spans="2:16" x14ac:dyDescent="0.2">
      <c r="B50" s="29" t="s">
        <v>12</v>
      </c>
      <c r="C50" s="6">
        <v>446</v>
      </c>
      <c r="D50" s="6" t="s">
        <v>14</v>
      </c>
      <c r="E50" s="6" t="s">
        <v>39</v>
      </c>
      <c r="F50" s="6" t="s">
        <v>37</v>
      </c>
      <c r="G50" s="6" t="s">
        <v>17</v>
      </c>
      <c r="H50" s="6">
        <v>2</v>
      </c>
      <c r="I50" s="6" t="s">
        <v>36</v>
      </c>
      <c r="J50" s="18">
        <v>153450</v>
      </c>
      <c r="K50" s="18">
        <f t="shared" si="6"/>
        <v>306900</v>
      </c>
      <c r="L50" s="6"/>
      <c r="M50" s="7" t="s">
        <v>231</v>
      </c>
      <c r="N50" s="8" t="s">
        <v>63</v>
      </c>
      <c r="O50" s="58"/>
      <c r="P50" s="30">
        <v>383046.83167811274</v>
      </c>
    </row>
    <row r="51" spans="2:16" x14ac:dyDescent="0.2">
      <c r="B51" s="29" t="s">
        <v>12</v>
      </c>
      <c r="C51" s="6">
        <v>446</v>
      </c>
      <c r="D51" s="6" t="s">
        <v>14</v>
      </c>
      <c r="E51" s="6" t="s">
        <v>39</v>
      </c>
      <c r="F51" s="6" t="s">
        <v>37</v>
      </c>
      <c r="G51" s="6" t="s">
        <v>17</v>
      </c>
      <c r="H51" s="6">
        <v>1</v>
      </c>
      <c r="I51" s="6" t="s">
        <v>36</v>
      </c>
      <c r="J51" s="18">
        <v>202500</v>
      </c>
      <c r="K51" s="18">
        <f t="shared" si="6"/>
        <v>202500</v>
      </c>
      <c r="L51" s="6"/>
      <c r="M51" s="7" t="s">
        <v>231</v>
      </c>
      <c r="N51" s="8" t="s">
        <v>64</v>
      </c>
      <c r="O51" s="58"/>
      <c r="P51" s="30">
        <v>252743.51063805094</v>
      </c>
    </row>
    <row r="52" spans="2:16" x14ac:dyDescent="0.2">
      <c r="B52" s="29" t="s">
        <v>12</v>
      </c>
      <c r="C52" s="6">
        <v>446</v>
      </c>
      <c r="D52" s="6" t="s">
        <v>14</v>
      </c>
      <c r="E52" s="6" t="s">
        <v>39</v>
      </c>
      <c r="F52" s="6" t="s">
        <v>37</v>
      </c>
      <c r="G52" s="6" t="s">
        <v>17</v>
      </c>
      <c r="H52" s="6">
        <v>1</v>
      </c>
      <c r="I52" s="6" t="s">
        <v>36</v>
      </c>
      <c r="J52" s="18"/>
      <c r="K52" s="18"/>
      <c r="L52" s="6"/>
      <c r="M52" s="7" t="s">
        <v>169</v>
      </c>
      <c r="N52" s="8" t="s">
        <v>167</v>
      </c>
      <c r="O52" s="58"/>
      <c r="P52" s="30">
        <v>300983.19797711598</v>
      </c>
    </row>
    <row r="53" spans="2:16" ht="13.5" customHeight="1" x14ac:dyDescent="0.2">
      <c r="B53" s="29" t="s">
        <v>12</v>
      </c>
      <c r="C53" s="6">
        <v>446</v>
      </c>
      <c r="D53" s="6" t="s">
        <v>14</v>
      </c>
      <c r="E53" s="6" t="s">
        <v>15</v>
      </c>
      <c r="F53" s="6" t="s">
        <v>71</v>
      </c>
      <c r="G53" s="6" t="s">
        <v>17</v>
      </c>
      <c r="H53" s="6">
        <v>15</v>
      </c>
      <c r="I53" s="6" t="s">
        <v>241</v>
      </c>
      <c r="J53" s="18"/>
      <c r="K53" s="18"/>
      <c r="L53" s="6"/>
      <c r="M53" s="7" t="s">
        <v>73</v>
      </c>
      <c r="N53" s="8"/>
      <c r="O53" s="58"/>
      <c r="P53" s="30">
        <v>4977240.8859469099</v>
      </c>
    </row>
    <row r="54" spans="2:16" x14ac:dyDescent="0.2">
      <c r="B54" s="29" t="s">
        <v>12</v>
      </c>
      <c r="C54" s="6">
        <v>446</v>
      </c>
      <c r="D54" s="6" t="s">
        <v>14</v>
      </c>
      <c r="E54" s="6" t="s">
        <v>15</v>
      </c>
      <c r="F54" s="6" t="s">
        <v>72</v>
      </c>
      <c r="G54" s="6" t="s">
        <v>17</v>
      </c>
      <c r="H54" s="6">
        <v>57</v>
      </c>
      <c r="I54" s="6" t="s">
        <v>36</v>
      </c>
      <c r="J54" s="18"/>
      <c r="K54" s="18">
        <f>3774124</f>
        <v>3774124</v>
      </c>
      <c r="L54" s="6"/>
      <c r="M54" s="7" t="s">
        <v>75</v>
      </c>
      <c r="N54" s="8"/>
      <c r="O54" s="58"/>
      <c r="P54" s="45">
        <v>2488620.4429734549</v>
      </c>
    </row>
    <row r="55" spans="2:16" x14ac:dyDescent="0.2">
      <c r="B55" s="29" t="s">
        <v>12</v>
      </c>
      <c r="C55" s="6">
        <v>446</v>
      </c>
      <c r="D55" s="6" t="s">
        <v>14</v>
      </c>
      <c r="E55" s="6" t="s">
        <v>15</v>
      </c>
      <c r="F55" s="6" t="s">
        <v>72</v>
      </c>
      <c r="G55" s="6" t="s">
        <v>17</v>
      </c>
      <c r="H55" s="6">
        <v>8</v>
      </c>
      <c r="I55" s="6" t="s">
        <v>241</v>
      </c>
      <c r="J55" s="18"/>
      <c r="K55" s="18"/>
      <c r="L55" s="6"/>
      <c r="M55" s="7" t="s">
        <v>74</v>
      </c>
      <c r="N55" s="8"/>
      <c r="O55" s="58"/>
      <c r="P55" s="45">
        <v>6636321.1812625472</v>
      </c>
    </row>
    <row r="56" spans="2:16" x14ac:dyDescent="0.2">
      <c r="B56" s="29" t="s">
        <v>12</v>
      </c>
      <c r="C56" s="6">
        <v>447</v>
      </c>
      <c r="D56" s="6" t="s">
        <v>14</v>
      </c>
      <c r="E56" s="6" t="s">
        <v>15</v>
      </c>
      <c r="F56" s="6" t="s">
        <v>72</v>
      </c>
      <c r="G56" s="6" t="s">
        <v>17</v>
      </c>
      <c r="H56" s="6">
        <v>1</v>
      </c>
      <c r="I56" s="6" t="s">
        <v>241</v>
      </c>
      <c r="J56" s="18"/>
      <c r="K56" s="18"/>
      <c r="L56" s="6"/>
      <c r="M56" s="7" t="s">
        <v>247</v>
      </c>
      <c r="N56" s="8" t="s">
        <v>269</v>
      </c>
      <c r="O56" s="58"/>
      <c r="P56" s="45">
        <v>5985103.6246802574</v>
      </c>
    </row>
    <row r="57" spans="2:16" x14ac:dyDescent="0.2">
      <c r="B57" s="29" t="s">
        <v>12</v>
      </c>
      <c r="C57" s="6">
        <v>446</v>
      </c>
      <c r="D57" s="6" t="s">
        <v>14</v>
      </c>
      <c r="E57" s="6" t="s">
        <v>15</v>
      </c>
      <c r="F57" s="6" t="s">
        <v>71</v>
      </c>
      <c r="G57" s="6" t="s">
        <v>17</v>
      </c>
      <c r="H57" s="6">
        <v>9</v>
      </c>
      <c r="I57" s="6" t="s">
        <v>241</v>
      </c>
      <c r="J57" s="18"/>
      <c r="K57" s="18"/>
      <c r="L57" s="6"/>
      <c r="M57" s="7" t="s">
        <v>76</v>
      </c>
      <c r="N57" s="8"/>
      <c r="O57" s="58"/>
      <c r="P57" s="45">
        <v>165908.02953156369</v>
      </c>
    </row>
    <row r="58" spans="2:16" x14ac:dyDescent="0.2">
      <c r="B58" s="29" t="s">
        <v>12</v>
      </c>
      <c r="C58" s="6">
        <v>446</v>
      </c>
      <c r="D58" s="6" t="s">
        <v>14</v>
      </c>
      <c r="E58" s="6" t="s">
        <v>15</v>
      </c>
      <c r="F58" s="6" t="s">
        <v>72</v>
      </c>
      <c r="G58" s="6" t="s">
        <v>17</v>
      </c>
      <c r="H58" s="6">
        <v>11</v>
      </c>
      <c r="I58" s="6" t="s">
        <v>241</v>
      </c>
      <c r="J58" s="18"/>
      <c r="K58" s="18"/>
      <c r="L58" s="6"/>
      <c r="M58" s="7" t="s">
        <v>77</v>
      </c>
      <c r="N58" s="8"/>
      <c r="O58" s="58"/>
      <c r="P58" s="45">
        <v>174486.63104789887</v>
      </c>
    </row>
    <row r="59" spans="2:16" x14ac:dyDescent="0.2">
      <c r="B59" s="29" t="s">
        <v>12</v>
      </c>
      <c r="C59" s="6">
        <v>446</v>
      </c>
      <c r="D59" s="6" t="s">
        <v>14</v>
      </c>
      <c r="E59" s="6" t="s">
        <v>15</v>
      </c>
      <c r="F59" s="6" t="s">
        <v>72</v>
      </c>
      <c r="G59" s="6" t="s">
        <v>17</v>
      </c>
      <c r="H59" s="6">
        <v>39</v>
      </c>
      <c r="I59" s="6" t="s">
        <v>241</v>
      </c>
      <c r="J59" s="18"/>
      <c r="K59" s="18"/>
      <c r="L59" s="6"/>
      <c r="M59" s="7" t="s">
        <v>78</v>
      </c>
      <c r="N59" s="8"/>
      <c r="O59" s="58"/>
      <c r="P59" s="45">
        <v>497724.08859469101</v>
      </c>
    </row>
    <row r="60" spans="2:16" x14ac:dyDescent="0.2">
      <c r="B60" s="29" t="s">
        <v>12</v>
      </c>
      <c r="C60" s="6">
        <v>446</v>
      </c>
      <c r="D60" s="6" t="s">
        <v>14</v>
      </c>
      <c r="E60" s="6" t="s">
        <v>15</v>
      </c>
      <c r="F60" s="6" t="s">
        <v>71</v>
      </c>
      <c r="G60" s="6" t="s">
        <v>17</v>
      </c>
      <c r="H60" s="6">
        <v>15</v>
      </c>
      <c r="I60" s="6" t="s">
        <v>241</v>
      </c>
      <c r="J60" s="18"/>
      <c r="K60" s="18"/>
      <c r="L60" s="6"/>
      <c r="M60" s="7" t="s">
        <v>79</v>
      </c>
      <c r="N60" s="8"/>
      <c r="O60" s="58"/>
      <c r="P60" s="45">
        <v>331816.05906312738</v>
      </c>
    </row>
    <row r="61" spans="2:16" x14ac:dyDescent="0.2">
      <c r="B61" s="29" t="s">
        <v>12</v>
      </c>
      <c r="C61" s="6">
        <v>446</v>
      </c>
      <c r="D61" s="6" t="s">
        <v>14</v>
      </c>
      <c r="E61" s="6" t="s">
        <v>15</v>
      </c>
      <c r="F61" s="6" t="s">
        <v>71</v>
      </c>
      <c r="G61" s="6" t="s">
        <v>17</v>
      </c>
      <c r="H61" s="6">
        <v>4</v>
      </c>
      <c r="I61" s="6" t="s">
        <v>241</v>
      </c>
      <c r="J61" s="18"/>
      <c r="K61" s="18"/>
      <c r="L61" s="6"/>
      <c r="M61" s="7" t="s">
        <v>80</v>
      </c>
      <c r="N61" s="8"/>
      <c r="O61" s="58"/>
      <c r="P61" s="45">
        <v>202444.43173082403</v>
      </c>
    </row>
    <row r="62" spans="2:16" x14ac:dyDescent="0.2">
      <c r="B62" s="29" t="s">
        <v>12</v>
      </c>
      <c r="C62" s="6">
        <v>446</v>
      </c>
      <c r="D62" s="6" t="s">
        <v>14</v>
      </c>
      <c r="E62" s="6" t="s">
        <v>15</v>
      </c>
      <c r="F62" s="6" t="s">
        <v>71</v>
      </c>
      <c r="G62" s="6" t="s">
        <v>17</v>
      </c>
      <c r="H62" s="6">
        <v>1</v>
      </c>
      <c r="I62" s="6" t="s">
        <v>241</v>
      </c>
      <c r="J62" s="18"/>
      <c r="K62" s="18"/>
      <c r="L62" s="6"/>
      <c r="M62" s="7" t="s">
        <v>81</v>
      </c>
      <c r="N62" s="8"/>
      <c r="O62" s="58"/>
      <c r="P62" s="45">
        <v>184721.18308361253</v>
      </c>
    </row>
    <row r="63" spans="2:16" x14ac:dyDescent="0.2">
      <c r="B63" s="29" t="s">
        <v>12</v>
      </c>
      <c r="C63" s="6">
        <v>446</v>
      </c>
      <c r="D63" s="6" t="s">
        <v>14</v>
      </c>
      <c r="E63" s="6" t="s">
        <v>15</v>
      </c>
      <c r="F63" s="6" t="s">
        <v>71</v>
      </c>
      <c r="G63" s="6" t="s">
        <v>17</v>
      </c>
      <c r="H63" s="6">
        <v>1</v>
      </c>
      <c r="I63" s="6" t="s">
        <v>241</v>
      </c>
      <c r="J63" s="18"/>
      <c r="K63" s="18"/>
      <c r="L63" s="6"/>
      <c r="M63" s="7" t="s">
        <v>82</v>
      </c>
      <c r="N63" s="8"/>
      <c r="O63" s="58"/>
      <c r="P63" s="45">
        <v>165908.02953156369</v>
      </c>
    </row>
    <row r="64" spans="2:16" x14ac:dyDescent="0.2">
      <c r="B64" s="29" t="s">
        <v>12</v>
      </c>
      <c r="C64" s="6">
        <v>446</v>
      </c>
      <c r="D64" s="6" t="s">
        <v>14</v>
      </c>
      <c r="E64" s="6" t="s">
        <v>15</v>
      </c>
      <c r="F64" s="6" t="s">
        <v>84</v>
      </c>
      <c r="G64" s="6" t="s">
        <v>17</v>
      </c>
      <c r="H64" s="6">
        <v>1</v>
      </c>
      <c r="I64" s="6" t="s">
        <v>36</v>
      </c>
      <c r="J64" s="18"/>
      <c r="K64" s="18"/>
      <c r="L64" s="6"/>
      <c r="M64" s="7" t="s">
        <v>83</v>
      </c>
      <c r="N64" s="8"/>
      <c r="O64" s="58"/>
      <c r="P64" s="45">
        <v>829540.14765781839</v>
      </c>
    </row>
    <row r="65" spans="2:16" x14ac:dyDescent="0.2">
      <c r="B65" s="29" t="s">
        <v>12</v>
      </c>
      <c r="C65" s="6">
        <v>446</v>
      </c>
      <c r="D65" s="6" t="s">
        <v>14</v>
      </c>
      <c r="E65" s="6" t="s">
        <v>15</v>
      </c>
      <c r="F65" s="6" t="s">
        <v>198</v>
      </c>
      <c r="G65" s="6" t="s">
        <v>17</v>
      </c>
      <c r="H65" s="6">
        <f>10+1.5+176.9+38+20.5+4+70.1+20.8+4.7</f>
        <v>346.5</v>
      </c>
      <c r="I65" s="6" t="s">
        <v>197</v>
      </c>
      <c r="J65" s="18">
        <v>5000</v>
      </c>
      <c r="K65" s="18">
        <f>H65*J65</f>
        <v>1732500</v>
      </c>
      <c r="L65" s="6"/>
      <c r="M65" s="7" t="s">
        <v>196</v>
      </c>
      <c r="N65" s="8"/>
      <c r="O65" s="58"/>
      <c r="P65" s="30">
        <v>11850574.072875734</v>
      </c>
    </row>
    <row r="66" spans="2:16" x14ac:dyDescent="0.2">
      <c r="B66" s="29" t="s">
        <v>12</v>
      </c>
      <c r="C66" s="6">
        <v>446</v>
      </c>
      <c r="D66" s="6" t="s">
        <v>14</v>
      </c>
      <c r="E66" s="6" t="s">
        <v>15</v>
      </c>
      <c r="F66" s="6" t="s">
        <v>225</v>
      </c>
      <c r="G66" s="6" t="s">
        <v>18</v>
      </c>
      <c r="H66" s="6">
        <v>180</v>
      </c>
      <c r="I66" s="6" t="s">
        <v>197</v>
      </c>
      <c r="J66" s="18">
        <v>3000</v>
      </c>
      <c r="K66" s="18">
        <f>J66*H66</f>
        <v>540000</v>
      </c>
      <c r="L66" s="6"/>
      <c r="M66" s="7" t="s">
        <v>245</v>
      </c>
      <c r="N66" s="8"/>
      <c r="O66" s="58"/>
      <c r="P66" s="30">
        <v>178480.60257403104</v>
      </c>
    </row>
    <row r="67" spans="2:16" ht="15" thickBot="1" x14ac:dyDescent="0.25">
      <c r="B67" s="31" t="s">
        <v>12</v>
      </c>
      <c r="C67" s="32">
        <v>446</v>
      </c>
      <c r="D67" s="32" t="s">
        <v>14</v>
      </c>
      <c r="E67" s="32" t="s">
        <v>15</v>
      </c>
      <c r="F67" s="32" t="s">
        <v>225</v>
      </c>
      <c r="G67" s="32" t="s">
        <v>17</v>
      </c>
      <c r="H67" s="32">
        <v>41</v>
      </c>
      <c r="I67" s="32" t="s">
        <v>28</v>
      </c>
      <c r="J67" s="33">
        <v>15000</v>
      </c>
      <c r="K67" s="33">
        <f>H67*J67</f>
        <v>615000</v>
      </c>
      <c r="L67" s="32"/>
      <c r="M67" s="34" t="s">
        <v>232</v>
      </c>
      <c r="N67" s="35"/>
      <c r="O67" s="60"/>
      <c r="P67" s="50">
        <v>15366523.372554464</v>
      </c>
    </row>
    <row r="68" spans="2:16" ht="15.75" customHeight="1" thickBot="1" x14ac:dyDescent="0.25">
      <c r="B68" s="76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55" t="s">
        <v>246</v>
      </c>
      <c r="P68" s="87">
        <v>263649995.65052751</v>
      </c>
    </row>
    <row r="69" spans="2:16" ht="14.25" x14ac:dyDescent="0.2">
      <c r="B69" s="24" t="s">
        <v>88</v>
      </c>
      <c r="C69" s="41" t="s">
        <v>89</v>
      </c>
      <c r="D69" s="25" t="s">
        <v>90</v>
      </c>
      <c r="E69" s="25" t="s">
        <v>15</v>
      </c>
      <c r="F69" s="25" t="s">
        <v>16</v>
      </c>
      <c r="G69" s="25" t="s">
        <v>17</v>
      </c>
      <c r="H69" s="25">
        <v>68.400000000000006</v>
      </c>
      <c r="I69" s="25" t="s">
        <v>28</v>
      </c>
      <c r="J69" s="26">
        <v>180000</v>
      </c>
      <c r="K69" s="26">
        <f>H69*J69</f>
        <v>12312000.000000002</v>
      </c>
      <c r="L69" s="25"/>
      <c r="M69" s="27" t="s">
        <v>87</v>
      </c>
      <c r="N69" s="28"/>
      <c r="O69" s="57"/>
      <c r="P69" s="51">
        <v>37024792.156306818</v>
      </c>
    </row>
    <row r="70" spans="2:16" ht="14.25" x14ac:dyDescent="0.2">
      <c r="B70" s="29" t="s">
        <v>88</v>
      </c>
      <c r="C70" s="10" t="s">
        <v>89</v>
      </c>
      <c r="D70" s="6" t="s">
        <v>90</v>
      </c>
      <c r="E70" s="6" t="s">
        <v>15</v>
      </c>
      <c r="F70" s="6" t="s">
        <v>16</v>
      </c>
      <c r="G70" s="6" t="s">
        <v>18</v>
      </c>
      <c r="H70" s="6">
        <v>104.8</v>
      </c>
      <c r="I70" s="6" t="s">
        <v>28</v>
      </c>
      <c r="J70" s="18">
        <v>120000</v>
      </c>
      <c r="K70" s="18">
        <f>H70*J70</f>
        <v>12576000</v>
      </c>
      <c r="L70" s="6"/>
      <c r="M70" s="7" t="s">
        <v>145</v>
      </c>
      <c r="N70" s="8"/>
      <c r="O70" s="58"/>
      <c r="P70" s="30">
        <v>4727836.2592424126</v>
      </c>
    </row>
    <row r="71" spans="2:16" ht="14.25" x14ac:dyDescent="0.2">
      <c r="B71" s="29" t="s">
        <v>88</v>
      </c>
      <c r="C71" s="10" t="s">
        <v>89</v>
      </c>
      <c r="D71" s="6" t="s">
        <v>90</v>
      </c>
      <c r="E71" s="6" t="s">
        <v>19</v>
      </c>
      <c r="F71" s="6" t="s">
        <v>20</v>
      </c>
      <c r="G71" s="6" t="s">
        <v>17</v>
      </c>
      <c r="H71" s="6">
        <v>25</v>
      </c>
      <c r="I71" s="6" t="s">
        <v>29</v>
      </c>
      <c r="J71" s="18">
        <f>K71/H71</f>
        <v>289621.15999999997</v>
      </c>
      <c r="K71" s="18">
        <v>7240529</v>
      </c>
      <c r="L71" s="6"/>
      <c r="M71" s="7" t="s">
        <v>93</v>
      </c>
      <c r="N71" s="8" t="s">
        <v>194</v>
      </c>
      <c r="O71" s="58"/>
      <c r="P71" s="30">
        <v>2706228.7280795514</v>
      </c>
    </row>
    <row r="72" spans="2:16" ht="14.25" x14ac:dyDescent="0.2">
      <c r="B72" s="29" t="s">
        <v>88</v>
      </c>
      <c r="C72" s="10" t="s">
        <v>89</v>
      </c>
      <c r="D72" s="6" t="s">
        <v>90</v>
      </c>
      <c r="E72" s="6" t="s">
        <v>19</v>
      </c>
      <c r="F72" s="6" t="s">
        <v>20</v>
      </c>
      <c r="G72" s="6" t="s">
        <v>17</v>
      </c>
      <c r="H72" s="6" t="s">
        <v>91</v>
      </c>
      <c r="I72" s="6" t="s">
        <v>29</v>
      </c>
      <c r="J72" s="18">
        <f>K72/20</f>
        <v>123755</v>
      </c>
      <c r="K72" s="18">
        <v>2475100</v>
      </c>
      <c r="L72" s="6"/>
      <c r="M72" s="7" t="s">
        <v>25</v>
      </c>
      <c r="N72" s="8" t="s">
        <v>252</v>
      </c>
      <c r="O72" s="58"/>
      <c r="P72" s="30">
        <v>7325952.5164173711</v>
      </c>
    </row>
    <row r="73" spans="2:16" ht="14.25" x14ac:dyDescent="0.2">
      <c r="B73" s="29" t="s">
        <v>88</v>
      </c>
      <c r="C73" s="10" t="s">
        <v>89</v>
      </c>
      <c r="D73" s="6" t="s">
        <v>90</v>
      </c>
      <c r="E73" s="6" t="s">
        <v>19</v>
      </c>
      <c r="F73" s="6" t="s">
        <v>20</v>
      </c>
      <c r="G73" s="6" t="s">
        <v>17</v>
      </c>
      <c r="H73" s="6" t="s">
        <v>92</v>
      </c>
      <c r="I73" s="6" t="s">
        <v>29</v>
      </c>
      <c r="J73" s="18">
        <f>K73/66</f>
        <v>289621.13636363635</v>
      </c>
      <c r="K73" s="18">
        <v>19114995</v>
      </c>
      <c r="L73" s="6"/>
      <c r="M73" s="7" t="s">
        <v>94</v>
      </c>
      <c r="N73" s="8" t="s">
        <v>195</v>
      </c>
      <c r="O73" s="58"/>
      <c r="P73" s="30">
        <v>13223139.821518345</v>
      </c>
    </row>
    <row r="74" spans="2:16" x14ac:dyDescent="0.2">
      <c r="B74" s="29" t="s">
        <v>88</v>
      </c>
      <c r="C74" s="10" t="s">
        <v>199</v>
      </c>
      <c r="D74" s="6" t="s">
        <v>90</v>
      </c>
      <c r="E74" s="6" t="s">
        <v>30</v>
      </c>
      <c r="F74" s="6" t="s">
        <v>20</v>
      </c>
      <c r="G74" s="6" t="s">
        <v>17</v>
      </c>
      <c r="H74" s="6">
        <v>120</v>
      </c>
      <c r="I74" s="6" t="s">
        <v>31</v>
      </c>
      <c r="J74" s="18">
        <f>K74/120</f>
        <v>73333.333333333328</v>
      </c>
      <c r="K74" s="18">
        <v>8800000</v>
      </c>
      <c r="L74" s="6"/>
      <c r="M74" s="8" t="s">
        <v>139</v>
      </c>
      <c r="N74" s="8"/>
      <c r="O74" s="58"/>
      <c r="P74" s="30">
        <v>25986547</v>
      </c>
    </row>
    <row r="75" spans="2:16" x14ac:dyDescent="0.2">
      <c r="B75" s="29" t="s">
        <v>88</v>
      </c>
      <c r="C75" s="10" t="s">
        <v>89</v>
      </c>
      <c r="D75" s="6" t="s">
        <v>90</v>
      </c>
      <c r="E75" s="6" t="s">
        <v>30</v>
      </c>
      <c r="F75" s="6" t="s">
        <v>20</v>
      </c>
      <c r="G75" s="6" t="s">
        <v>17</v>
      </c>
      <c r="H75" s="6">
        <v>90</v>
      </c>
      <c r="I75" s="6" t="s">
        <v>31</v>
      </c>
      <c r="J75" s="18">
        <f>K75/H75</f>
        <v>88888.888888888891</v>
      </c>
      <c r="K75" s="18">
        <v>8000000</v>
      </c>
      <c r="L75" s="6"/>
      <c r="M75" s="8" t="s">
        <v>140</v>
      </c>
      <c r="N75" s="8"/>
      <c r="O75" s="58"/>
      <c r="P75" s="30">
        <v>14206660</v>
      </c>
    </row>
    <row r="76" spans="2:16" x14ac:dyDescent="0.2">
      <c r="B76" s="29" t="s">
        <v>88</v>
      </c>
      <c r="C76" s="10" t="s">
        <v>89</v>
      </c>
      <c r="D76" s="6" t="s">
        <v>90</v>
      </c>
      <c r="E76" s="6" t="s">
        <v>30</v>
      </c>
      <c r="F76" s="6" t="s">
        <v>34</v>
      </c>
      <c r="G76" s="6" t="s">
        <v>17</v>
      </c>
      <c r="H76" s="6">
        <v>2</v>
      </c>
      <c r="I76" s="6" t="s">
        <v>36</v>
      </c>
      <c r="J76" s="18">
        <v>251740</v>
      </c>
      <c r="K76" s="18">
        <f t="shared" ref="K76:K78" si="7">H76*J76</f>
        <v>503480</v>
      </c>
      <c r="L76" s="6"/>
      <c r="M76" s="7" t="s">
        <v>218</v>
      </c>
      <c r="N76" s="11" t="s">
        <v>238</v>
      </c>
      <c r="O76" s="61"/>
      <c r="P76" s="30">
        <v>550517.99596504751</v>
      </c>
    </row>
    <row r="77" spans="2:16" x14ac:dyDescent="0.2">
      <c r="B77" s="29" t="s">
        <v>88</v>
      </c>
      <c r="C77" s="10" t="s">
        <v>199</v>
      </c>
      <c r="D77" s="6" t="s">
        <v>90</v>
      </c>
      <c r="E77" s="6" t="s">
        <v>30</v>
      </c>
      <c r="F77" s="6" t="s">
        <v>34</v>
      </c>
      <c r="G77" s="6" t="s">
        <v>17</v>
      </c>
      <c r="H77" s="6">
        <v>2</v>
      </c>
      <c r="I77" s="6" t="s">
        <v>36</v>
      </c>
      <c r="J77" s="18">
        <v>251740</v>
      </c>
      <c r="K77" s="18">
        <f t="shared" si="7"/>
        <v>503480</v>
      </c>
      <c r="L77" s="6"/>
      <c r="M77" s="7" t="s">
        <v>216</v>
      </c>
      <c r="N77" s="11" t="s">
        <v>263</v>
      </c>
      <c r="O77" s="61"/>
      <c r="P77" s="30">
        <v>1182504.957615651</v>
      </c>
    </row>
    <row r="78" spans="2:16" x14ac:dyDescent="0.2">
      <c r="B78" s="29" t="s">
        <v>88</v>
      </c>
      <c r="C78" s="10" t="s">
        <v>89</v>
      </c>
      <c r="D78" s="6" t="s">
        <v>90</v>
      </c>
      <c r="E78" s="6" t="s">
        <v>30</v>
      </c>
      <c r="F78" s="6" t="s">
        <v>34</v>
      </c>
      <c r="G78" s="6" t="s">
        <v>17</v>
      </c>
      <c r="H78" s="6">
        <v>1</v>
      </c>
      <c r="I78" s="6" t="s">
        <v>36</v>
      </c>
      <c r="J78" s="18">
        <v>251740</v>
      </c>
      <c r="K78" s="18">
        <f t="shared" si="7"/>
        <v>251740</v>
      </c>
      <c r="L78" s="6"/>
      <c r="M78" s="7" t="s">
        <v>217</v>
      </c>
      <c r="N78" s="11" t="s">
        <v>263</v>
      </c>
      <c r="O78" s="61"/>
      <c r="P78" s="30">
        <v>591252.47880782548</v>
      </c>
    </row>
    <row r="79" spans="2:16" x14ac:dyDescent="0.2">
      <c r="B79" s="29" t="s">
        <v>88</v>
      </c>
      <c r="C79" s="10" t="s">
        <v>89</v>
      </c>
      <c r="D79" s="6" t="s">
        <v>90</v>
      </c>
      <c r="E79" s="6" t="s">
        <v>15</v>
      </c>
      <c r="F79" s="6" t="s">
        <v>37</v>
      </c>
      <c r="G79" s="6" t="s">
        <v>17</v>
      </c>
      <c r="H79" s="6">
        <v>1</v>
      </c>
      <c r="I79" s="6" t="s">
        <v>36</v>
      </c>
      <c r="J79" s="18">
        <v>462200</v>
      </c>
      <c r="K79" s="18">
        <f t="shared" ref="K79:K81" si="8">J79*H79</f>
        <v>462200</v>
      </c>
      <c r="L79" s="6"/>
      <c r="M79" s="7" t="s">
        <v>219</v>
      </c>
      <c r="N79" s="17" t="s">
        <v>221</v>
      </c>
      <c r="O79" s="62"/>
      <c r="P79" s="30">
        <v>505381.38105792674</v>
      </c>
    </row>
    <row r="80" spans="2:16" x14ac:dyDescent="0.2">
      <c r="B80" s="29" t="s">
        <v>88</v>
      </c>
      <c r="C80" s="10" t="s">
        <v>199</v>
      </c>
      <c r="D80" s="6" t="s">
        <v>90</v>
      </c>
      <c r="E80" s="6" t="s">
        <v>15</v>
      </c>
      <c r="F80" s="6" t="s">
        <v>37</v>
      </c>
      <c r="G80" s="6" t="s">
        <v>17</v>
      </c>
      <c r="H80" s="6">
        <v>1</v>
      </c>
      <c r="I80" s="6" t="s">
        <v>36</v>
      </c>
      <c r="J80" s="18">
        <v>462200</v>
      </c>
      <c r="K80" s="18">
        <f t="shared" si="8"/>
        <v>462200</v>
      </c>
      <c r="L80" s="6"/>
      <c r="M80" s="7" t="s">
        <v>219</v>
      </c>
      <c r="N80" s="17" t="s">
        <v>221</v>
      </c>
      <c r="O80" s="62"/>
      <c r="P80" s="30">
        <v>505381.38105792674</v>
      </c>
    </row>
    <row r="81" spans="2:16" x14ac:dyDescent="0.2">
      <c r="B81" s="29" t="s">
        <v>88</v>
      </c>
      <c r="C81" s="10" t="s">
        <v>89</v>
      </c>
      <c r="D81" s="6" t="s">
        <v>90</v>
      </c>
      <c r="E81" s="6" t="s">
        <v>15</v>
      </c>
      <c r="F81" s="6" t="s">
        <v>37</v>
      </c>
      <c r="G81" s="6" t="s">
        <v>17</v>
      </c>
      <c r="H81" s="6">
        <v>1</v>
      </c>
      <c r="I81" s="6" t="s">
        <v>36</v>
      </c>
      <c r="J81" s="18">
        <v>462200</v>
      </c>
      <c r="K81" s="18">
        <f t="shared" si="8"/>
        <v>462200</v>
      </c>
      <c r="L81" s="6"/>
      <c r="M81" s="7" t="s">
        <v>219</v>
      </c>
      <c r="N81" s="17" t="s">
        <v>221</v>
      </c>
      <c r="O81" s="62"/>
      <c r="P81" s="30">
        <v>505381.38105792674</v>
      </c>
    </row>
    <row r="82" spans="2:16" x14ac:dyDescent="0.2">
      <c r="B82" s="29" t="s">
        <v>88</v>
      </c>
      <c r="C82" s="10" t="s">
        <v>89</v>
      </c>
      <c r="D82" s="6" t="s">
        <v>90</v>
      </c>
      <c r="E82" s="6" t="s">
        <v>39</v>
      </c>
      <c r="F82" s="6" t="s">
        <v>37</v>
      </c>
      <c r="G82" s="6" t="s">
        <v>17</v>
      </c>
      <c r="H82" s="6">
        <v>2</v>
      </c>
      <c r="I82" s="6" t="s">
        <v>36</v>
      </c>
      <c r="J82" s="18">
        <v>3588000</v>
      </c>
      <c r="K82" s="18">
        <f>H82*J82</f>
        <v>7176000</v>
      </c>
      <c r="L82" s="6"/>
      <c r="M82" s="7" t="s">
        <v>255</v>
      </c>
      <c r="N82" s="8"/>
      <c r="O82" s="58"/>
      <c r="P82" s="30">
        <v>10578511.419844376</v>
      </c>
    </row>
    <row r="83" spans="2:16" x14ac:dyDescent="0.2">
      <c r="B83" s="29" t="s">
        <v>88</v>
      </c>
      <c r="C83" s="10" t="s">
        <v>89</v>
      </c>
      <c r="D83" s="6" t="s">
        <v>90</v>
      </c>
      <c r="E83" s="6" t="s">
        <v>39</v>
      </c>
      <c r="F83" s="6" t="s">
        <v>37</v>
      </c>
      <c r="G83" s="6" t="s">
        <v>17</v>
      </c>
      <c r="H83" s="6">
        <v>2</v>
      </c>
      <c r="I83" s="6" t="s">
        <v>36</v>
      </c>
      <c r="J83" s="18">
        <f>2170*315</f>
        <v>683550</v>
      </c>
      <c r="K83" s="18">
        <f>J83*H83</f>
        <v>1367100</v>
      </c>
      <c r="L83" s="6"/>
      <c r="M83" s="7" t="s">
        <v>307</v>
      </c>
      <c r="N83" s="8" t="s">
        <v>297</v>
      </c>
      <c r="O83" s="58"/>
      <c r="P83" s="30">
        <v>1494822.3410737594</v>
      </c>
    </row>
    <row r="84" spans="2:16" x14ac:dyDescent="0.2">
      <c r="B84" s="29" t="s">
        <v>88</v>
      </c>
      <c r="C84" s="10" t="s">
        <v>89</v>
      </c>
      <c r="D84" s="6" t="s">
        <v>90</v>
      </c>
      <c r="E84" s="6" t="s">
        <v>39</v>
      </c>
      <c r="F84" s="6" t="s">
        <v>34</v>
      </c>
      <c r="G84" s="6" t="s">
        <v>17</v>
      </c>
      <c r="H84" s="6">
        <v>3</v>
      </c>
      <c r="I84" s="6" t="s">
        <v>36</v>
      </c>
      <c r="J84" s="18">
        <v>455492</v>
      </c>
      <c r="K84" s="18">
        <f>H84*J84</f>
        <v>1366476</v>
      </c>
      <c r="L84" s="6"/>
      <c r="M84" s="7" t="s">
        <v>85</v>
      </c>
      <c r="N84" s="8" t="s">
        <v>95</v>
      </c>
      <c r="O84" s="58" t="s">
        <v>310</v>
      </c>
      <c r="P84" s="30">
        <v>1494140.0434065589</v>
      </c>
    </row>
    <row r="85" spans="2:16" ht="56.25" customHeight="1" x14ac:dyDescent="0.2">
      <c r="B85" s="29" t="s">
        <v>88</v>
      </c>
      <c r="C85" s="10" t="s">
        <v>89</v>
      </c>
      <c r="D85" s="6" t="s">
        <v>90</v>
      </c>
      <c r="E85" s="6" t="s">
        <v>39</v>
      </c>
      <c r="F85" s="6" t="s">
        <v>34</v>
      </c>
      <c r="G85" s="6" t="s">
        <v>17</v>
      </c>
      <c r="H85" s="6">
        <v>9</v>
      </c>
      <c r="I85" s="6" t="s">
        <v>36</v>
      </c>
      <c r="J85" s="18"/>
      <c r="K85" s="18"/>
      <c r="L85" s="6"/>
      <c r="M85" s="72" t="s">
        <v>43</v>
      </c>
      <c r="N85" s="73" t="s">
        <v>308</v>
      </c>
      <c r="O85" s="74" t="s">
        <v>309</v>
      </c>
      <c r="P85" s="75">
        <v>2644628.4016739684</v>
      </c>
    </row>
    <row r="86" spans="2:16" x14ac:dyDescent="0.2">
      <c r="B86" s="46" t="s">
        <v>88</v>
      </c>
      <c r="C86" s="47" t="s">
        <v>89</v>
      </c>
      <c r="D86" s="15" t="s">
        <v>90</v>
      </c>
      <c r="E86" s="15" t="s">
        <v>39</v>
      </c>
      <c r="F86" s="15" t="s">
        <v>34</v>
      </c>
      <c r="G86" s="15" t="s">
        <v>17</v>
      </c>
      <c r="H86" s="15">
        <v>3</v>
      </c>
      <c r="I86" s="15" t="s">
        <v>36</v>
      </c>
      <c r="J86" s="48">
        <v>108520</v>
      </c>
      <c r="K86" s="48">
        <f>H86*J86</f>
        <v>325560</v>
      </c>
      <c r="L86" s="15"/>
      <c r="M86" s="9" t="s">
        <v>97</v>
      </c>
      <c r="N86" s="22" t="s">
        <v>96</v>
      </c>
      <c r="O86" s="63" t="s">
        <v>312</v>
      </c>
      <c r="P86" s="30">
        <v>355975.68675296113</v>
      </c>
    </row>
    <row r="87" spans="2:16" ht="15.75" x14ac:dyDescent="0.3">
      <c r="B87" s="29" t="s">
        <v>88</v>
      </c>
      <c r="C87" s="10" t="s">
        <v>89</v>
      </c>
      <c r="D87" s="6" t="s">
        <v>90</v>
      </c>
      <c r="E87" s="6" t="s">
        <v>39</v>
      </c>
      <c r="F87" s="6" t="s">
        <v>37</v>
      </c>
      <c r="G87" s="6" t="s">
        <v>17</v>
      </c>
      <c r="H87" s="6">
        <v>2</v>
      </c>
      <c r="I87" s="6" t="s">
        <v>36</v>
      </c>
      <c r="J87" s="18">
        <v>133000</v>
      </c>
      <c r="K87" s="18">
        <f t="shared" ref="K87:K89" si="9">H87*J87</f>
        <v>266000</v>
      </c>
      <c r="L87" s="6"/>
      <c r="M87" s="7" t="s">
        <v>45</v>
      </c>
      <c r="N87" s="8" t="s">
        <v>189</v>
      </c>
      <c r="O87" s="58"/>
      <c r="P87" s="30">
        <v>338961.98210289329</v>
      </c>
    </row>
    <row r="88" spans="2:16" ht="15.75" x14ac:dyDescent="0.3">
      <c r="B88" s="29" t="s">
        <v>88</v>
      </c>
      <c r="C88" s="10" t="s">
        <v>89</v>
      </c>
      <c r="D88" s="6" t="s">
        <v>90</v>
      </c>
      <c r="E88" s="6" t="s">
        <v>39</v>
      </c>
      <c r="F88" s="6" t="s">
        <v>37</v>
      </c>
      <c r="G88" s="6" t="s">
        <v>17</v>
      </c>
      <c r="H88" s="6">
        <v>1</v>
      </c>
      <c r="I88" s="6" t="s">
        <v>36</v>
      </c>
      <c r="J88" s="18">
        <v>211500</v>
      </c>
      <c r="K88" s="18">
        <f t="shared" si="9"/>
        <v>211500</v>
      </c>
      <c r="L88" s="6"/>
      <c r="M88" s="7" t="s">
        <v>45</v>
      </c>
      <c r="N88" s="8" t="s">
        <v>190</v>
      </c>
      <c r="O88" s="58"/>
      <c r="P88" s="30">
        <v>243287.22908997987</v>
      </c>
    </row>
    <row r="89" spans="2:16" ht="15.75" x14ac:dyDescent="0.3">
      <c r="B89" s="29" t="s">
        <v>88</v>
      </c>
      <c r="C89" s="10" t="s">
        <v>89</v>
      </c>
      <c r="D89" s="6" t="s">
        <v>90</v>
      </c>
      <c r="E89" s="6" t="s">
        <v>39</v>
      </c>
      <c r="F89" s="6" t="s">
        <v>37</v>
      </c>
      <c r="G89" s="6" t="s">
        <v>17</v>
      </c>
      <c r="H89" s="6">
        <v>1</v>
      </c>
      <c r="I89" s="6" t="s">
        <v>36</v>
      </c>
      <c r="J89" s="18">
        <v>133000</v>
      </c>
      <c r="K89" s="18">
        <f t="shared" si="9"/>
        <v>133000</v>
      </c>
      <c r="L89" s="6"/>
      <c r="M89" s="7" t="s">
        <v>45</v>
      </c>
      <c r="N89" s="8" t="s">
        <v>191</v>
      </c>
      <c r="O89" s="58"/>
      <c r="P89" s="30">
        <v>159640.15931297556</v>
      </c>
    </row>
    <row r="90" spans="2:16" x14ac:dyDescent="0.2">
      <c r="B90" s="29" t="s">
        <v>88</v>
      </c>
      <c r="C90" s="10" t="s">
        <v>89</v>
      </c>
      <c r="D90" s="6" t="s">
        <v>90</v>
      </c>
      <c r="E90" s="6" t="s">
        <v>39</v>
      </c>
      <c r="F90" s="6" t="s">
        <v>37</v>
      </c>
      <c r="G90" s="6" t="s">
        <v>17</v>
      </c>
      <c r="H90" s="6">
        <v>2000</v>
      </c>
      <c r="I90" s="6" t="s">
        <v>46</v>
      </c>
      <c r="J90" s="18">
        <v>3350000</v>
      </c>
      <c r="K90" s="18">
        <f>2*J90</f>
        <v>6700000</v>
      </c>
      <c r="L90" s="6"/>
      <c r="M90" s="7" t="s">
        <v>47</v>
      </c>
      <c r="N90" s="8" t="s">
        <v>137</v>
      </c>
      <c r="O90" s="58"/>
      <c r="P90" s="30">
        <v>7325952.5164173711</v>
      </c>
    </row>
    <row r="91" spans="2:16" x14ac:dyDescent="0.2">
      <c r="B91" s="29" t="s">
        <v>88</v>
      </c>
      <c r="C91" s="10" t="s">
        <v>89</v>
      </c>
      <c r="D91" s="6" t="s">
        <v>90</v>
      </c>
      <c r="E91" s="6" t="s">
        <v>39</v>
      </c>
      <c r="F91" s="6" t="s">
        <v>37</v>
      </c>
      <c r="G91" s="6" t="s">
        <v>17</v>
      </c>
      <c r="H91" s="6">
        <v>2000</v>
      </c>
      <c r="I91" s="6" t="s">
        <v>46</v>
      </c>
      <c r="J91" s="18">
        <v>3350000</v>
      </c>
      <c r="K91" s="18">
        <f>2*J91</f>
        <v>6700000</v>
      </c>
      <c r="L91" s="6"/>
      <c r="M91" s="7" t="s">
        <v>47</v>
      </c>
      <c r="N91" s="8" t="s">
        <v>138</v>
      </c>
      <c r="O91" s="58"/>
      <c r="P91" s="30">
        <v>7325952.5164173711</v>
      </c>
    </row>
    <row r="92" spans="2:16" x14ac:dyDescent="0.2">
      <c r="B92" s="29" t="s">
        <v>88</v>
      </c>
      <c r="C92" s="10" t="s">
        <v>89</v>
      </c>
      <c r="D92" s="6" t="s">
        <v>90</v>
      </c>
      <c r="E92" s="6" t="s">
        <v>39</v>
      </c>
      <c r="F92" s="6" t="s">
        <v>37</v>
      </c>
      <c r="G92" s="6" t="s">
        <v>17</v>
      </c>
      <c r="H92" s="6">
        <v>2</v>
      </c>
      <c r="I92" s="6" t="s">
        <v>36</v>
      </c>
      <c r="J92" s="18">
        <f>315*3403.5</f>
        <v>1072102.5</v>
      </c>
      <c r="K92" s="18">
        <f t="shared" ref="K92:K93" si="10">H92*J92</f>
        <v>2144205</v>
      </c>
      <c r="L92" s="6"/>
      <c r="M92" s="7" t="s">
        <v>50</v>
      </c>
      <c r="N92" s="8" t="s">
        <v>249</v>
      </c>
      <c r="O92" s="58" t="s">
        <v>315</v>
      </c>
      <c r="P92" s="30">
        <v>2344528.9575320464</v>
      </c>
    </row>
    <row r="93" spans="2:16" x14ac:dyDescent="0.2">
      <c r="B93" s="29" t="s">
        <v>88</v>
      </c>
      <c r="C93" s="10" t="s">
        <v>89</v>
      </c>
      <c r="D93" s="6" t="s">
        <v>90</v>
      </c>
      <c r="E93" s="6" t="s">
        <v>39</v>
      </c>
      <c r="F93" s="6" t="s">
        <v>37</v>
      </c>
      <c r="G93" s="6" t="s">
        <v>17</v>
      </c>
      <c r="H93" s="6">
        <v>2</v>
      </c>
      <c r="I93" s="6" t="s">
        <v>36</v>
      </c>
      <c r="J93" s="18">
        <f>3591*315</f>
        <v>1131165</v>
      </c>
      <c r="K93" s="18">
        <f t="shared" si="10"/>
        <v>2262330</v>
      </c>
      <c r="L93" s="6"/>
      <c r="M93" s="7" t="s">
        <v>51</v>
      </c>
      <c r="N93" s="8" t="s">
        <v>258</v>
      </c>
      <c r="O93" s="58" t="s">
        <v>316</v>
      </c>
      <c r="P93" s="30">
        <v>2473689.8740994795</v>
      </c>
    </row>
    <row r="94" spans="2:16" x14ac:dyDescent="0.2">
      <c r="B94" s="29" t="s">
        <v>88</v>
      </c>
      <c r="C94" s="10" t="s">
        <v>89</v>
      </c>
      <c r="D94" s="6" t="s">
        <v>90</v>
      </c>
      <c r="E94" s="6" t="s">
        <v>39</v>
      </c>
      <c r="F94" s="6" t="s">
        <v>37</v>
      </c>
      <c r="G94" s="6" t="s">
        <v>17</v>
      </c>
      <c r="H94" s="6">
        <v>2</v>
      </c>
      <c r="I94" s="6" t="s">
        <v>36</v>
      </c>
      <c r="J94" s="18">
        <f>754*315</f>
        <v>237510</v>
      </c>
      <c r="K94" s="18">
        <f>H94*J94</f>
        <v>475020</v>
      </c>
      <c r="L94" s="6"/>
      <c r="M94" s="7" t="s">
        <v>52</v>
      </c>
      <c r="N94" s="8" t="s">
        <v>257</v>
      </c>
      <c r="O94" s="58" t="s">
        <v>317</v>
      </c>
      <c r="P94" s="30">
        <v>519399.09915650444</v>
      </c>
    </row>
    <row r="95" spans="2:16" x14ac:dyDescent="0.2">
      <c r="B95" s="29" t="s">
        <v>88</v>
      </c>
      <c r="C95" s="10" t="s">
        <v>89</v>
      </c>
      <c r="D95" s="6" t="s">
        <v>90</v>
      </c>
      <c r="E95" s="6" t="s">
        <v>39</v>
      </c>
      <c r="F95" s="6" t="s">
        <v>37</v>
      </c>
      <c r="G95" s="6" t="s">
        <v>17</v>
      </c>
      <c r="H95" s="6">
        <v>1</v>
      </c>
      <c r="I95" s="6" t="s">
        <v>36</v>
      </c>
      <c r="J95" s="18">
        <f>3185*315</f>
        <v>1003275</v>
      </c>
      <c r="K95" s="18">
        <f>H95*J95</f>
        <v>1003275</v>
      </c>
      <c r="L95" s="6"/>
      <c r="M95" s="7" t="s">
        <v>54</v>
      </c>
      <c r="N95" s="8" t="s">
        <v>230</v>
      </c>
      <c r="O95" s="58" t="s">
        <v>318</v>
      </c>
      <c r="P95" s="30">
        <v>1097006.7180460654</v>
      </c>
    </row>
    <row r="96" spans="2:16" x14ac:dyDescent="0.2">
      <c r="B96" s="29" t="s">
        <v>88</v>
      </c>
      <c r="C96" s="10" t="s">
        <v>89</v>
      </c>
      <c r="D96" s="6" t="s">
        <v>90</v>
      </c>
      <c r="E96" s="6" t="s">
        <v>39</v>
      </c>
      <c r="F96" s="6" t="s">
        <v>34</v>
      </c>
      <c r="G96" s="6" t="s">
        <v>17</v>
      </c>
      <c r="H96" s="6">
        <v>2</v>
      </c>
      <c r="I96" s="6" t="s">
        <v>36</v>
      </c>
      <c r="J96" s="18">
        <v>71717</v>
      </c>
      <c r="K96" s="18">
        <f>H96*J96</f>
        <v>143434</v>
      </c>
      <c r="L96" s="6"/>
      <c r="M96" s="7" t="s">
        <v>98</v>
      </c>
      <c r="N96" s="8" t="s">
        <v>264</v>
      </c>
      <c r="O96" s="58" t="s">
        <v>313</v>
      </c>
      <c r="P96" s="30">
        <v>156834.42884176256</v>
      </c>
    </row>
    <row r="97" spans="2:16" x14ac:dyDescent="0.2">
      <c r="B97" s="29" t="s">
        <v>88</v>
      </c>
      <c r="C97" s="10" t="s">
        <v>89</v>
      </c>
      <c r="D97" s="6" t="s">
        <v>90</v>
      </c>
      <c r="E97" s="6" t="s">
        <v>39</v>
      </c>
      <c r="F97" s="6" t="s">
        <v>34</v>
      </c>
      <c r="G97" s="6" t="s">
        <v>17</v>
      </c>
      <c r="H97" s="6">
        <v>1</v>
      </c>
      <c r="I97" s="6" t="s">
        <v>36</v>
      </c>
      <c r="J97" s="18"/>
      <c r="K97" s="18"/>
      <c r="L97" s="6"/>
      <c r="M97" s="7" t="s">
        <v>57</v>
      </c>
      <c r="N97" s="8" t="s">
        <v>99</v>
      </c>
      <c r="O97" s="58" t="s">
        <v>314</v>
      </c>
      <c r="P97" s="30">
        <v>646724.15389183839</v>
      </c>
    </row>
    <row r="98" spans="2:16" x14ac:dyDescent="0.2">
      <c r="B98" s="29" t="s">
        <v>88</v>
      </c>
      <c r="C98" s="10" t="s">
        <v>89</v>
      </c>
      <c r="D98" s="6" t="s">
        <v>90</v>
      </c>
      <c r="E98" s="6" t="s">
        <v>39</v>
      </c>
      <c r="F98" s="6" t="s">
        <v>34</v>
      </c>
      <c r="G98" s="6" t="s">
        <v>17</v>
      </c>
      <c r="H98" s="6">
        <v>2</v>
      </c>
      <c r="I98" s="6" t="s">
        <v>36</v>
      </c>
      <c r="J98" s="18">
        <v>437129</v>
      </c>
      <c r="K98" s="18">
        <f t="shared" ref="K98:K99" si="11">H98*J98</f>
        <v>874258</v>
      </c>
      <c r="L98" s="6"/>
      <c r="M98" s="7" t="s">
        <v>59</v>
      </c>
      <c r="N98" s="8" t="s">
        <v>265</v>
      </c>
      <c r="O98" s="58" t="s">
        <v>311</v>
      </c>
      <c r="P98" s="30">
        <v>955936.20822358481</v>
      </c>
    </row>
    <row r="99" spans="2:16" x14ac:dyDescent="0.2">
      <c r="B99" s="29" t="s">
        <v>88</v>
      </c>
      <c r="C99" s="10" t="s">
        <v>89</v>
      </c>
      <c r="D99" s="6" t="s">
        <v>90</v>
      </c>
      <c r="E99" s="6" t="s">
        <v>39</v>
      </c>
      <c r="F99" s="6" t="s">
        <v>34</v>
      </c>
      <c r="G99" s="6" t="s">
        <v>17</v>
      </c>
      <c r="H99" s="6">
        <v>2</v>
      </c>
      <c r="I99" s="6" t="s">
        <v>36</v>
      </c>
      <c r="J99" s="18">
        <v>156951</v>
      </c>
      <c r="K99" s="18">
        <f t="shared" si="11"/>
        <v>313902</v>
      </c>
      <c r="L99" s="6"/>
      <c r="M99" s="7" t="s">
        <v>60</v>
      </c>
      <c r="N99" s="8" t="s">
        <v>100</v>
      </c>
      <c r="O99" s="58"/>
      <c r="P99" s="30">
        <v>343228.52937439486</v>
      </c>
    </row>
    <row r="100" spans="2:16" x14ac:dyDescent="0.2">
      <c r="B100" s="29" t="s">
        <v>88</v>
      </c>
      <c r="C100" s="10" t="s">
        <v>89</v>
      </c>
      <c r="D100" s="6" t="s">
        <v>90</v>
      </c>
      <c r="E100" s="6" t="s">
        <v>15</v>
      </c>
      <c r="F100" s="6" t="s">
        <v>37</v>
      </c>
      <c r="G100" s="6" t="s">
        <v>17</v>
      </c>
      <c r="H100" s="4">
        <f>2</f>
        <v>2</v>
      </c>
      <c r="I100" s="6" t="s">
        <v>36</v>
      </c>
      <c r="J100" s="18">
        <v>27120</v>
      </c>
      <c r="K100" s="18">
        <f>H100*J100</f>
        <v>54240</v>
      </c>
      <c r="L100" s="6"/>
      <c r="M100" s="12" t="s">
        <v>129</v>
      </c>
      <c r="N100" s="8" t="s">
        <v>101</v>
      </c>
      <c r="O100" s="58"/>
      <c r="P100" s="30">
        <v>53140.491387743918</v>
      </c>
    </row>
    <row r="101" spans="2:16" x14ac:dyDescent="0.2">
      <c r="B101" s="29" t="s">
        <v>88</v>
      </c>
      <c r="C101" s="10" t="s">
        <v>89</v>
      </c>
      <c r="D101" s="6" t="s">
        <v>90</v>
      </c>
      <c r="E101" s="6" t="s">
        <v>15</v>
      </c>
      <c r="F101" s="6" t="s">
        <v>37</v>
      </c>
      <c r="G101" s="6" t="s">
        <v>17</v>
      </c>
      <c r="H101" s="4">
        <f>6</f>
        <v>6</v>
      </c>
      <c r="I101" s="6" t="s">
        <v>36</v>
      </c>
      <c r="J101" s="18">
        <v>27495</v>
      </c>
      <c r="K101" s="18">
        <f>H101*J101</f>
        <v>164970</v>
      </c>
      <c r="L101" s="6"/>
      <c r="M101" s="12" t="s">
        <v>129</v>
      </c>
      <c r="N101" s="8" t="s">
        <v>67</v>
      </c>
      <c r="O101" s="58"/>
      <c r="P101" s="30">
        <v>180776.07903571404</v>
      </c>
    </row>
    <row r="102" spans="2:16" x14ac:dyDescent="0.2">
      <c r="B102" s="29" t="s">
        <v>88</v>
      </c>
      <c r="C102" s="10" t="s">
        <v>89</v>
      </c>
      <c r="D102" s="6" t="s">
        <v>90</v>
      </c>
      <c r="E102" s="6" t="s">
        <v>15</v>
      </c>
      <c r="F102" s="6" t="s">
        <v>37</v>
      </c>
      <c r="G102" s="6" t="s">
        <v>17</v>
      </c>
      <c r="H102" s="4">
        <f>4</f>
        <v>4</v>
      </c>
      <c r="I102" s="6" t="s">
        <v>36</v>
      </c>
      <c r="J102" s="18">
        <v>32948</v>
      </c>
      <c r="K102" s="18">
        <f>H102*J102</f>
        <v>131792</v>
      </c>
      <c r="L102" s="6"/>
      <c r="M102" s="12" t="s">
        <v>129</v>
      </c>
      <c r="N102" s="8" t="s">
        <v>62</v>
      </c>
      <c r="O102" s="58"/>
      <c r="P102" s="30">
        <v>135659.14579207022</v>
      </c>
    </row>
    <row r="103" spans="2:16" x14ac:dyDescent="0.2">
      <c r="B103" s="29" t="s">
        <v>88</v>
      </c>
      <c r="C103" s="10" t="s">
        <v>89</v>
      </c>
      <c r="D103" s="6" t="s">
        <v>90</v>
      </c>
      <c r="E103" s="6" t="s">
        <v>15</v>
      </c>
      <c r="F103" s="6" t="s">
        <v>37</v>
      </c>
      <c r="G103" s="6" t="s">
        <v>17</v>
      </c>
      <c r="H103" s="4">
        <f>5</f>
        <v>5</v>
      </c>
      <c r="I103" s="6" t="s">
        <v>36</v>
      </c>
      <c r="J103" s="18">
        <v>51743</v>
      </c>
      <c r="K103" s="18">
        <f>H103*J103</f>
        <v>258715</v>
      </c>
      <c r="L103" s="6"/>
      <c r="M103" s="12" t="s">
        <v>129</v>
      </c>
      <c r="N103" s="8" t="s">
        <v>63</v>
      </c>
      <c r="O103" s="58"/>
      <c r="P103" s="30">
        <v>263132.90642922989</v>
      </c>
    </row>
    <row r="104" spans="2:16" x14ac:dyDescent="0.2">
      <c r="B104" s="29" t="s">
        <v>88</v>
      </c>
      <c r="C104" s="10" t="s">
        <v>89</v>
      </c>
      <c r="D104" s="6" t="s">
        <v>90</v>
      </c>
      <c r="E104" s="6" t="s">
        <v>15</v>
      </c>
      <c r="F104" s="6" t="s">
        <v>37</v>
      </c>
      <c r="G104" s="6" t="s">
        <v>17</v>
      </c>
      <c r="H104" s="4">
        <f>1</f>
        <v>1</v>
      </c>
      <c r="I104" s="6" t="s">
        <v>36</v>
      </c>
      <c r="J104" s="18">
        <v>76350</v>
      </c>
      <c r="K104" s="18">
        <f>H104*J104</f>
        <v>76350</v>
      </c>
      <c r="L104" s="6"/>
      <c r="M104" s="12" t="s">
        <v>129</v>
      </c>
      <c r="N104" s="8" t="s">
        <v>64</v>
      </c>
      <c r="O104" s="58"/>
      <c r="P104" s="30">
        <v>89194.018600255862</v>
      </c>
    </row>
    <row r="105" spans="2:16" x14ac:dyDescent="0.2">
      <c r="B105" s="29" t="s">
        <v>88</v>
      </c>
      <c r="C105" s="10" t="s">
        <v>89</v>
      </c>
      <c r="D105" s="6" t="s">
        <v>90</v>
      </c>
      <c r="E105" s="6" t="s">
        <v>39</v>
      </c>
      <c r="F105" s="6" t="s">
        <v>37</v>
      </c>
      <c r="G105" s="6" t="s">
        <v>17</v>
      </c>
      <c r="H105" s="6">
        <v>12</v>
      </c>
      <c r="I105" s="6" t="s">
        <v>36</v>
      </c>
      <c r="J105" s="18">
        <v>8126</v>
      </c>
      <c r="K105" s="18">
        <f t="shared" ref="K105:K109" si="12">H105*J105</f>
        <v>97512</v>
      </c>
      <c r="L105" s="6"/>
      <c r="M105" s="3" t="s">
        <v>61</v>
      </c>
      <c r="N105" s="8" t="s">
        <v>102</v>
      </c>
      <c r="O105" s="58"/>
      <c r="P105" s="30">
        <v>106622.13160908817</v>
      </c>
    </row>
    <row r="106" spans="2:16" x14ac:dyDescent="0.2">
      <c r="B106" s="29" t="s">
        <v>88</v>
      </c>
      <c r="C106" s="10" t="s">
        <v>89</v>
      </c>
      <c r="D106" s="6" t="s">
        <v>90</v>
      </c>
      <c r="E106" s="6" t="s">
        <v>39</v>
      </c>
      <c r="F106" s="6" t="s">
        <v>37</v>
      </c>
      <c r="G106" s="6" t="s">
        <v>17</v>
      </c>
      <c r="H106" s="6">
        <v>4</v>
      </c>
      <c r="I106" s="6" t="s">
        <v>36</v>
      </c>
      <c r="J106" s="18">
        <v>10693</v>
      </c>
      <c r="K106" s="18">
        <f t="shared" si="12"/>
        <v>42772</v>
      </c>
      <c r="L106" s="6"/>
      <c r="M106" s="3" t="s">
        <v>61</v>
      </c>
      <c r="N106" s="8" t="s">
        <v>67</v>
      </c>
      <c r="O106" s="58"/>
      <c r="P106" s="30">
        <v>46768.006124209525</v>
      </c>
    </row>
    <row r="107" spans="2:16" x14ac:dyDescent="0.2">
      <c r="B107" s="29" t="s">
        <v>88</v>
      </c>
      <c r="C107" s="10" t="s">
        <v>89</v>
      </c>
      <c r="D107" s="6" t="s">
        <v>90</v>
      </c>
      <c r="E107" s="6" t="s">
        <v>39</v>
      </c>
      <c r="F107" s="6" t="s">
        <v>37</v>
      </c>
      <c r="G107" s="6" t="s">
        <v>17</v>
      </c>
      <c r="H107" s="6">
        <v>36</v>
      </c>
      <c r="I107" s="6" t="s">
        <v>36</v>
      </c>
      <c r="J107" s="18">
        <v>15394</v>
      </c>
      <c r="K107" s="18">
        <f t="shared" si="12"/>
        <v>554184</v>
      </c>
      <c r="L107" s="6"/>
      <c r="M107" s="3" t="s">
        <v>61</v>
      </c>
      <c r="N107" s="8" t="s">
        <v>62</v>
      </c>
      <c r="O107" s="58"/>
      <c r="P107" s="30">
        <v>605959.05512809625</v>
      </c>
    </row>
    <row r="108" spans="2:16" x14ac:dyDescent="0.2">
      <c r="B108" s="29" t="s">
        <v>88</v>
      </c>
      <c r="C108" s="10" t="s">
        <v>89</v>
      </c>
      <c r="D108" s="6" t="s">
        <v>90</v>
      </c>
      <c r="E108" s="6" t="s">
        <v>39</v>
      </c>
      <c r="F108" s="6" t="s">
        <v>34</v>
      </c>
      <c r="G108" s="6" t="s">
        <v>17</v>
      </c>
      <c r="H108" s="6">
        <v>4</v>
      </c>
      <c r="I108" s="6" t="s">
        <v>36</v>
      </c>
      <c r="J108" s="18">
        <v>93288</v>
      </c>
      <c r="K108" s="18">
        <f t="shared" si="12"/>
        <v>373152</v>
      </c>
      <c r="L108" s="6"/>
      <c r="M108" s="7" t="s">
        <v>65</v>
      </c>
      <c r="N108" s="8" t="s">
        <v>67</v>
      </c>
      <c r="O108" s="58"/>
      <c r="P108" s="30">
        <v>408014.00498599629</v>
      </c>
    </row>
    <row r="109" spans="2:16" x14ac:dyDescent="0.2">
      <c r="B109" s="29" t="s">
        <v>88</v>
      </c>
      <c r="C109" s="10" t="s">
        <v>89</v>
      </c>
      <c r="D109" s="6" t="s">
        <v>90</v>
      </c>
      <c r="E109" s="6" t="s">
        <v>39</v>
      </c>
      <c r="F109" s="6" t="s">
        <v>34</v>
      </c>
      <c r="G109" s="6" t="s">
        <v>17</v>
      </c>
      <c r="H109" s="6">
        <v>20</v>
      </c>
      <c r="I109" s="6" t="s">
        <v>36</v>
      </c>
      <c r="J109" s="18">
        <v>93664</v>
      </c>
      <c r="K109" s="18">
        <f t="shared" si="12"/>
        <v>1873280</v>
      </c>
      <c r="L109" s="6"/>
      <c r="M109" s="7" t="s">
        <v>65</v>
      </c>
      <c r="N109" s="8" t="s">
        <v>62</v>
      </c>
      <c r="O109" s="58"/>
      <c r="P109" s="30">
        <v>2048292.5865603483</v>
      </c>
    </row>
    <row r="110" spans="2:16" x14ac:dyDescent="0.2">
      <c r="B110" s="29" t="s">
        <v>88</v>
      </c>
      <c r="C110" s="10" t="s">
        <v>89</v>
      </c>
      <c r="D110" s="6" t="s">
        <v>90</v>
      </c>
      <c r="E110" s="6" t="s">
        <v>39</v>
      </c>
      <c r="F110" s="6" t="s">
        <v>34</v>
      </c>
      <c r="G110" s="6" t="s">
        <v>17</v>
      </c>
      <c r="H110" s="6">
        <v>2</v>
      </c>
      <c r="I110" s="6" t="s">
        <v>36</v>
      </c>
      <c r="J110" s="18">
        <v>402113</v>
      </c>
      <c r="K110" s="18">
        <f>H110*J110</f>
        <v>804226</v>
      </c>
      <c r="L110" s="6"/>
      <c r="M110" s="7" t="s">
        <v>103</v>
      </c>
      <c r="N110" s="8" t="s">
        <v>104</v>
      </c>
      <c r="O110" s="58"/>
      <c r="P110" s="30">
        <v>879361.41618929512</v>
      </c>
    </row>
    <row r="111" spans="2:16" x14ac:dyDescent="0.2">
      <c r="B111" s="29" t="s">
        <v>88</v>
      </c>
      <c r="C111" s="10" t="s">
        <v>89</v>
      </c>
      <c r="D111" s="6" t="s">
        <v>90</v>
      </c>
      <c r="E111" s="6" t="s">
        <v>39</v>
      </c>
      <c r="F111" s="6" t="s">
        <v>37</v>
      </c>
      <c r="G111" s="6" t="s">
        <v>17</v>
      </c>
      <c r="H111" s="4">
        <v>3</v>
      </c>
      <c r="I111" s="6" t="s">
        <v>36</v>
      </c>
      <c r="J111" s="18">
        <v>13372</v>
      </c>
      <c r="K111" s="18">
        <f>J111*H111</f>
        <v>40116</v>
      </c>
      <c r="L111" s="6"/>
      <c r="M111" s="12" t="s">
        <v>105</v>
      </c>
      <c r="N111" s="8" t="s">
        <v>102</v>
      </c>
      <c r="O111" s="58"/>
      <c r="P111" s="30">
        <v>43863.867335611831</v>
      </c>
    </row>
    <row r="112" spans="2:16" x14ac:dyDescent="0.2">
      <c r="B112" s="29" t="s">
        <v>88</v>
      </c>
      <c r="C112" s="10" t="s">
        <v>89</v>
      </c>
      <c r="D112" s="6" t="s">
        <v>90</v>
      </c>
      <c r="E112" s="6" t="s">
        <v>39</v>
      </c>
      <c r="F112" s="6" t="s">
        <v>37</v>
      </c>
      <c r="G112" s="6" t="s">
        <v>17</v>
      </c>
      <c r="H112" s="4">
        <v>2</v>
      </c>
      <c r="I112" s="6" t="s">
        <v>36</v>
      </c>
      <c r="J112" s="18">
        <v>14948</v>
      </c>
      <c r="K112" s="18">
        <f>H112*J112</f>
        <v>29896</v>
      </c>
      <c r="L112" s="6"/>
      <c r="M112" s="12" t="s">
        <v>105</v>
      </c>
      <c r="N112" s="8" t="s">
        <v>101</v>
      </c>
      <c r="O112" s="58"/>
      <c r="P112" s="30">
        <v>32689.056183703542</v>
      </c>
    </row>
    <row r="113" spans="2:16" x14ac:dyDescent="0.2">
      <c r="B113" s="29" t="s">
        <v>88</v>
      </c>
      <c r="C113" s="10" t="s">
        <v>89</v>
      </c>
      <c r="D113" s="6" t="s">
        <v>90</v>
      </c>
      <c r="E113" s="6" t="s">
        <v>39</v>
      </c>
      <c r="F113" s="6" t="s">
        <v>37</v>
      </c>
      <c r="G113" s="6" t="s">
        <v>17</v>
      </c>
      <c r="H113" s="4">
        <v>3</v>
      </c>
      <c r="I113" s="6" t="s">
        <v>36</v>
      </c>
      <c r="J113" s="18">
        <f>17921</f>
        <v>17921</v>
      </c>
      <c r="K113" s="18">
        <f>H113*J113</f>
        <v>53763</v>
      </c>
      <c r="L113" s="6"/>
      <c r="M113" s="12" t="s">
        <v>105</v>
      </c>
      <c r="N113" s="8" t="s">
        <v>67</v>
      </c>
      <c r="O113" s="58"/>
      <c r="P113" s="30">
        <v>58785.848528380171</v>
      </c>
    </row>
    <row r="114" spans="2:16" x14ac:dyDescent="0.2">
      <c r="B114" s="29" t="s">
        <v>88</v>
      </c>
      <c r="C114" s="10" t="s">
        <v>89</v>
      </c>
      <c r="D114" s="6" t="s">
        <v>90</v>
      </c>
      <c r="E114" s="6" t="s">
        <v>39</v>
      </c>
      <c r="F114" s="6" t="s">
        <v>37</v>
      </c>
      <c r="G114" s="6" t="s">
        <v>17</v>
      </c>
      <c r="H114" s="4">
        <v>2</v>
      </c>
      <c r="I114" s="6" t="s">
        <v>36</v>
      </c>
      <c r="J114" s="18">
        <v>22695</v>
      </c>
      <c r="K114" s="18">
        <f>H114*J114</f>
        <v>45390</v>
      </c>
      <c r="L114" s="6"/>
      <c r="M114" s="12" t="s">
        <v>105</v>
      </c>
      <c r="N114" s="8" t="s">
        <v>62</v>
      </c>
      <c r="O114" s="58"/>
      <c r="P114" s="30">
        <v>49630.594734355895</v>
      </c>
    </row>
    <row r="115" spans="2:16" x14ac:dyDescent="0.2">
      <c r="B115" s="29" t="s">
        <v>88</v>
      </c>
      <c r="C115" s="10" t="s">
        <v>89</v>
      </c>
      <c r="D115" s="6" t="s">
        <v>90</v>
      </c>
      <c r="E115" s="6" t="s">
        <v>39</v>
      </c>
      <c r="F115" s="6" t="s">
        <v>37</v>
      </c>
      <c r="G115" s="6" t="s">
        <v>17</v>
      </c>
      <c r="H115" s="4">
        <v>2</v>
      </c>
      <c r="I115" s="6" t="s">
        <v>36</v>
      </c>
      <c r="J115" s="18"/>
      <c r="K115" s="18"/>
      <c r="L115" s="6"/>
      <c r="M115" s="7" t="s">
        <v>231</v>
      </c>
      <c r="N115" s="8" t="s">
        <v>102</v>
      </c>
      <c r="O115" s="58"/>
      <c r="P115" s="30">
        <v>172192.6869082698</v>
      </c>
    </row>
    <row r="116" spans="2:16" x14ac:dyDescent="0.2">
      <c r="B116" s="29" t="s">
        <v>88</v>
      </c>
      <c r="C116" s="10" t="s">
        <v>89</v>
      </c>
      <c r="D116" s="6" t="s">
        <v>90</v>
      </c>
      <c r="E116" s="6" t="s">
        <v>39</v>
      </c>
      <c r="F116" s="6" t="s">
        <v>37</v>
      </c>
      <c r="G116" s="6" t="s">
        <v>17</v>
      </c>
      <c r="H116" s="6">
        <v>3</v>
      </c>
      <c r="I116" s="6" t="s">
        <v>36</v>
      </c>
      <c r="J116" s="18">
        <v>319610</v>
      </c>
      <c r="K116" s="18">
        <f>H116*J116</f>
        <v>958830</v>
      </c>
      <c r="L116" s="6"/>
      <c r="M116" s="7" t="s">
        <v>231</v>
      </c>
      <c r="N116" s="8" t="s">
        <v>67</v>
      </c>
      <c r="O116" s="58"/>
      <c r="P116" s="30">
        <v>309822.18589953164</v>
      </c>
    </row>
    <row r="117" spans="2:16" x14ac:dyDescent="0.2">
      <c r="B117" s="29" t="s">
        <v>88</v>
      </c>
      <c r="C117" s="10" t="s">
        <v>89</v>
      </c>
      <c r="D117" s="6" t="s">
        <v>90</v>
      </c>
      <c r="E117" s="6" t="s">
        <v>39</v>
      </c>
      <c r="F117" s="6" t="s">
        <v>37</v>
      </c>
      <c r="G117" s="6" t="s">
        <v>17</v>
      </c>
      <c r="H117" s="6">
        <v>1</v>
      </c>
      <c r="I117" s="6" t="s">
        <v>36</v>
      </c>
      <c r="J117" s="18">
        <v>329400</v>
      </c>
      <c r="K117" s="18">
        <f>H117*J117</f>
        <v>329400</v>
      </c>
      <c r="L117" s="6"/>
      <c r="M117" s="7" t="s">
        <v>231</v>
      </c>
      <c r="N117" s="8" t="s">
        <v>62</v>
      </c>
      <c r="O117" s="58"/>
      <c r="P117" s="30">
        <v>118297.73175390976</v>
      </c>
    </row>
    <row r="118" spans="2:16" x14ac:dyDescent="0.2">
      <c r="B118" s="29" t="s">
        <v>88</v>
      </c>
      <c r="C118" s="10" t="s">
        <v>89</v>
      </c>
      <c r="D118" s="6" t="s">
        <v>90</v>
      </c>
      <c r="E118" s="6" t="s">
        <v>39</v>
      </c>
      <c r="F118" s="6" t="s">
        <v>37</v>
      </c>
      <c r="G118" s="6" t="s">
        <v>17</v>
      </c>
      <c r="H118" s="6">
        <v>2</v>
      </c>
      <c r="I118" s="6" t="s">
        <v>36</v>
      </c>
      <c r="J118" s="18"/>
      <c r="K118" s="18"/>
      <c r="L118" s="6"/>
      <c r="M118" s="7" t="s">
        <v>169</v>
      </c>
      <c r="N118" s="8" t="s">
        <v>167</v>
      </c>
      <c r="O118" s="58"/>
      <c r="P118" s="30">
        <v>527359.23860717879</v>
      </c>
    </row>
    <row r="119" spans="2:16" x14ac:dyDescent="0.2">
      <c r="B119" s="29" t="s">
        <v>88</v>
      </c>
      <c r="C119" s="10" t="s">
        <v>89</v>
      </c>
      <c r="D119" s="6" t="s">
        <v>90</v>
      </c>
      <c r="E119" s="6" t="s">
        <v>15</v>
      </c>
      <c r="F119" s="6" t="s">
        <v>71</v>
      </c>
      <c r="G119" s="6" t="s">
        <v>17</v>
      </c>
      <c r="H119" s="6">
        <v>12</v>
      </c>
      <c r="I119" s="6" t="s">
        <v>241</v>
      </c>
      <c r="J119" s="18"/>
      <c r="K119" s="18"/>
      <c r="L119" s="6"/>
      <c r="M119" s="7" t="s">
        <v>73</v>
      </c>
      <c r="N119" s="8"/>
      <c r="O119" s="58"/>
      <c r="P119" s="30">
        <v>2776829.8072208641</v>
      </c>
    </row>
    <row r="120" spans="2:16" x14ac:dyDescent="0.2">
      <c r="B120" s="29" t="s">
        <v>88</v>
      </c>
      <c r="C120" s="10" t="s">
        <v>89</v>
      </c>
      <c r="D120" s="6" t="s">
        <v>90</v>
      </c>
      <c r="E120" s="6" t="s">
        <v>15</v>
      </c>
      <c r="F120" s="6" t="s">
        <v>72</v>
      </c>
      <c r="G120" s="6" t="s">
        <v>17</v>
      </c>
      <c r="H120" s="6">
        <v>49</v>
      </c>
      <c r="I120" s="6" t="s">
        <v>36</v>
      </c>
      <c r="J120" s="18"/>
      <c r="K120" s="18">
        <v>2937537</v>
      </c>
      <c r="L120" s="6"/>
      <c r="M120" s="7" t="s">
        <v>75</v>
      </c>
      <c r="N120" s="8"/>
      <c r="O120" s="58"/>
      <c r="P120" s="30">
        <v>1388414.9036104321</v>
      </c>
    </row>
    <row r="121" spans="2:16" x14ac:dyDescent="0.2">
      <c r="B121" s="29" t="s">
        <v>88</v>
      </c>
      <c r="C121" s="10" t="s">
        <v>89</v>
      </c>
      <c r="D121" s="6" t="s">
        <v>90</v>
      </c>
      <c r="E121" s="6" t="s">
        <v>15</v>
      </c>
      <c r="F121" s="6" t="s">
        <v>72</v>
      </c>
      <c r="G121" s="6" t="s">
        <v>17</v>
      </c>
      <c r="H121" s="6">
        <v>6</v>
      </c>
      <c r="I121" s="6" t="s">
        <v>241</v>
      </c>
      <c r="J121" s="18"/>
      <c r="K121" s="18"/>
      <c r="L121" s="6"/>
      <c r="M121" s="7" t="s">
        <v>74</v>
      </c>
      <c r="N121" s="8"/>
      <c r="O121" s="58"/>
      <c r="P121" s="30">
        <v>3702439.7429611529</v>
      </c>
    </row>
    <row r="122" spans="2:16" x14ac:dyDescent="0.2">
      <c r="B122" s="29" t="s">
        <v>88</v>
      </c>
      <c r="C122" s="10" t="s">
        <v>89</v>
      </c>
      <c r="D122" s="6" t="s">
        <v>90</v>
      </c>
      <c r="E122" s="6" t="s">
        <v>15</v>
      </c>
      <c r="F122" s="6" t="s">
        <v>72</v>
      </c>
      <c r="G122" s="6" t="s">
        <v>17</v>
      </c>
      <c r="H122" s="6">
        <v>1</v>
      </c>
      <c r="I122" s="6" t="s">
        <v>241</v>
      </c>
      <c r="J122" s="18"/>
      <c r="K122" s="18"/>
      <c r="L122" s="6"/>
      <c r="M122" s="7" t="s">
        <v>247</v>
      </c>
      <c r="N122" s="8" t="s">
        <v>269</v>
      </c>
      <c r="O122" s="58" t="s">
        <v>319</v>
      </c>
      <c r="P122" s="30">
        <v>5311588.9308397742</v>
      </c>
    </row>
    <row r="123" spans="2:16" x14ac:dyDescent="0.2">
      <c r="B123" s="29" t="s">
        <v>88</v>
      </c>
      <c r="C123" s="10" t="s">
        <v>89</v>
      </c>
      <c r="D123" s="6" t="s">
        <v>90</v>
      </c>
      <c r="E123" s="6" t="s">
        <v>15</v>
      </c>
      <c r="F123" s="6" t="s">
        <v>71</v>
      </c>
      <c r="G123" s="6" t="s">
        <v>17</v>
      </c>
      <c r="H123" s="6">
        <v>6</v>
      </c>
      <c r="I123" s="6" t="s">
        <v>241</v>
      </c>
      <c r="J123" s="18"/>
      <c r="K123" s="18"/>
      <c r="L123" s="6"/>
      <c r="M123" s="7" t="s">
        <v>76</v>
      </c>
      <c r="N123" s="8"/>
      <c r="O123" s="58"/>
      <c r="P123" s="30">
        <v>92560.993574028835</v>
      </c>
    </row>
    <row r="124" spans="2:16" x14ac:dyDescent="0.2">
      <c r="B124" s="29" t="s">
        <v>88</v>
      </c>
      <c r="C124" s="10" t="s">
        <v>89</v>
      </c>
      <c r="D124" s="6" t="s">
        <v>90</v>
      </c>
      <c r="E124" s="6" t="s">
        <v>15</v>
      </c>
      <c r="F124" s="6" t="s">
        <v>72</v>
      </c>
      <c r="G124" s="6" t="s">
        <v>17</v>
      </c>
      <c r="H124" s="6">
        <v>6</v>
      </c>
      <c r="I124" s="6" t="s">
        <v>241</v>
      </c>
      <c r="J124" s="18"/>
      <c r="K124" s="18"/>
      <c r="L124" s="6"/>
      <c r="M124" s="7" t="s">
        <v>77</v>
      </c>
      <c r="N124" s="8"/>
      <c r="O124" s="58"/>
      <c r="P124" s="30">
        <v>105187.55702676883</v>
      </c>
    </row>
    <row r="125" spans="2:16" x14ac:dyDescent="0.2">
      <c r="B125" s="29" t="s">
        <v>88</v>
      </c>
      <c r="C125" s="10" t="s">
        <v>89</v>
      </c>
      <c r="D125" s="6" t="s">
        <v>90</v>
      </c>
      <c r="E125" s="6" t="s">
        <v>15</v>
      </c>
      <c r="F125" s="6" t="s">
        <v>72</v>
      </c>
      <c r="G125" s="6" t="s">
        <v>17</v>
      </c>
      <c r="H125" s="6">
        <v>32</v>
      </c>
      <c r="I125" s="6" t="s">
        <v>241</v>
      </c>
      <c r="J125" s="18"/>
      <c r="K125" s="18"/>
      <c r="L125" s="6"/>
      <c r="M125" s="7" t="s">
        <v>78</v>
      </c>
      <c r="N125" s="8"/>
      <c r="O125" s="58"/>
      <c r="P125" s="30">
        <v>277682.98072208645</v>
      </c>
    </row>
    <row r="126" spans="2:16" x14ac:dyDescent="0.2">
      <c r="B126" s="29" t="s">
        <v>88</v>
      </c>
      <c r="C126" s="10" t="s">
        <v>89</v>
      </c>
      <c r="D126" s="6" t="s">
        <v>90</v>
      </c>
      <c r="E126" s="6" t="s">
        <v>15</v>
      </c>
      <c r="F126" s="6" t="s">
        <v>71</v>
      </c>
      <c r="G126" s="6" t="s">
        <v>17</v>
      </c>
      <c r="H126" s="6">
        <v>18</v>
      </c>
      <c r="I126" s="6" t="s">
        <v>241</v>
      </c>
      <c r="J126" s="18"/>
      <c r="K126" s="18"/>
      <c r="L126" s="6"/>
      <c r="M126" s="7" t="s">
        <v>79</v>
      </c>
      <c r="N126" s="8"/>
      <c r="O126" s="58"/>
      <c r="P126" s="30">
        <v>185121.98714805767</v>
      </c>
    </row>
    <row r="127" spans="2:16" x14ac:dyDescent="0.2">
      <c r="B127" s="29" t="s">
        <v>88</v>
      </c>
      <c r="C127" s="10" t="s">
        <v>89</v>
      </c>
      <c r="D127" s="6" t="s">
        <v>90</v>
      </c>
      <c r="E127" s="6" t="s">
        <v>15</v>
      </c>
      <c r="F127" s="6" t="s">
        <v>71</v>
      </c>
      <c r="G127" s="6" t="s">
        <v>17</v>
      </c>
      <c r="H127" s="6">
        <v>4</v>
      </c>
      <c r="I127" s="6" t="s">
        <v>241</v>
      </c>
      <c r="J127" s="18"/>
      <c r="K127" s="18"/>
      <c r="L127" s="6"/>
      <c r="M127" s="7" t="s">
        <v>80</v>
      </c>
      <c r="N127" s="8"/>
      <c r="O127" s="58"/>
      <c r="P127" s="30">
        <v>92560.993574028835</v>
      </c>
    </row>
    <row r="128" spans="2:16" x14ac:dyDescent="0.2">
      <c r="B128" s="29" t="s">
        <v>88</v>
      </c>
      <c r="C128" s="10" t="s">
        <v>89</v>
      </c>
      <c r="D128" s="6" t="s">
        <v>90</v>
      </c>
      <c r="E128" s="6" t="s">
        <v>15</v>
      </c>
      <c r="F128" s="6" t="s">
        <v>71</v>
      </c>
      <c r="G128" s="6" t="s">
        <v>17</v>
      </c>
      <c r="H128" s="6">
        <v>1</v>
      </c>
      <c r="I128" s="6" t="s">
        <v>241</v>
      </c>
      <c r="J128" s="18"/>
      <c r="K128" s="18"/>
      <c r="L128" s="6"/>
      <c r="M128" s="7" t="s">
        <v>81</v>
      </c>
      <c r="N128" s="8"/>
      <c r="O128" s="58"/>
      <c r="P128" s="30">
        <v>96202.877649544709</v>
      </c>
    </row>
    <row r="129" spans="2:16" x14ac:dyDescent="0.2">
      <c r="B129" s="29" t="s">
        <v>88</v>
      </c>
      <c r="C129" s="10" t="s">
        <v>89</v>
      </c>
      <c r="D129" s="6" t="s">
        <v>90</v>
      </c>
      <c r="E129" s="6" t="s">
        <v>15</v>
      </c>
      <c r="F129" s="6" t="s">
        <v>71</v>
      </c>
      <c r="G129" s="6" t="s">
        <v>17</v>
      </c>
      <c r="H129" s="6">
        <v>1</v>
      </c>
      <c r="I129" s="6" t="s">
        <v>241</v>
      </c>
      <c r="J129" s="18"/>
      <c r="K129" s="18"/>
      <c r="L129" s="6"/>
      <c r="M129" s="7" t="s">
        <v>82</v>
      </c>
      <c r="N129" s="8"/>
      <c r="O129" s="58"/>
      <c r="P129" s="30">
        <v>105539.64011785635</v>
      </c>
    </row>
    <row r="130" spans="2:16" x14ac:dyDescent="0.2">
      <c r="B130" s="29" t="s">
        <v>88</v>
      </c>
      <c r="C130" s="10" t="s">
        <v>89</v>
      </c>
      <c r="D130" s="6" t="s">
        <v>90</v>
      </c>
      <c r="E130" s="6" t="s">
        <v>15</v>
      </c>
      <c r="F130" s="6" t="s">
        <v>84</v>
      </c>
      <c r="G130" s="6" t="s">
        <v>17</v>
      </c>
      <c r="H130" s="6">
        <v>1</v>
      </c>
      <c r="I130" s="6" t="s">
        <v>36</v>
      </c>
      <c r="J130" s="18"/>
      <c r="K130" s="18"/>
      <c r="L130" s="6"/>
      <c r="M130" s="7" t="s">
        <v>83</v>
      </c>
      <c r="N130" s="8"/>
      <c r="O130" s="58"/>
      <c r="P130" s="30">
        <v>462804.96787014412</v>
      </c>
    </row>
    <row r="131" spans="2:16" x14ac:dyDescent="0.2">
      <c r="B131" s="29" t="s">
        <v>88</v>
      </c>
      <c r="C131" s="10" t="s">
        <v>89</v>
      </c>
      <c r="D131" s="6" t="s">
        <v>90</v>
      </c>
      <c r="E131" s="6" t="s">
        <v>15</v>
      </c>
      <c r="F131" s="6" t="s">
        <v>198</v>
      </c>
      <c r="G131" s="6" t="s">
        <v>17</v>
      </c>
      <c r="H131" s="6">
        <f>65.5+25+235+35+34.5+95.5+480+48.5+67</f>
        <v>1086</v>
      </c>
      <c r="I131" s="6" t="s">
        <v>197</v>
      </c>
      <c r="J131" s="18">
        <v>5000</v>
      </c>
      <c r="K131" s="18">
        <f>H131*J131</f>
        <v>5430000</v>
      </c>
      <c r="L131" s="6"/>
      <c r="M131" s="7" t="s">
        <v>196</v>
      </c>
      <c r="N131" s="8"/>
      <c r="O131" s="58"/>
      <c r="P131" s="30">
        <v>10934257.487190107</v>
      </c>
    </row>
    <row r="132" spans="2:16" ht="15" thickBot="1" x14ac:dyDescent="0.25">
      <c r="B132" s="31" t="s">
        <v>88</v>
      </c>
      <c r="C132" s="42" t="s">
        <v>89</v>
      </c>
      <c r="D132" s="32" t="s">
        <v>90</v>
      </c>
      <c r="E132" s="32" t="s">
        <v>15</v>
      </c>
      <c r="F132" s="32" t="s">
        <v>225</v>
      </c>
      <c r="G132" s="32" t="s">
        <v>17</v>
      </c>
      <c r="H132" s="32">
        <v>409</v>
      </c>
      <c r="I132" s="32" t="s">
        <v>28</v>
      </c>
      <c r="J132" s="33">
        <v>15000</v>
      </c>
      <c r="K132" s="33">
        <f>H132*J132</f>
        <v>6135000</v>
      </c>
      <c r="L132" s="32"/>
      <c r="M132" s="34" t="s">
        <v>232</v>
      </c>
      <c r="N132" s="35"/>
      <c r="O132" s="60"/>
      <c r="P132" s="50">
        <v>1312110.8984628129</v>
      </c>
    </row>
    <row r="133" spans="2:16" ht="13.5" thickBot="1" x14ac:dyDescent="0.25">
      <c r="B133" s="76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54" t="s">
        <v>246</v>
      </c>
      <c r="P133" s="87">
        <v>182513661.14214531</v>
      </c>
    </row>
    <row r="134" spans="2:16" x14ac:dyDescent="0.2">
      <c r="B134" s="24" t="s">
        <v>107</v>
      </c>
      <c r="C134" s="25" t="s">
        <v>202</v>
      </c>
      <c r="D134" s="25" t="s">
        <v>212</v>
      </c>
      <c r="E134" s="25" t="s">
        <v>30</v>
      </c>
      <c r="F134" s="25" t="s">
        <v>20</v>
      </c>
      <c r="G134" s="25" t="s">
        <v>17</v>
      </c>
      <c r="H134" s="25">
        <v>144</v>
      </c>
      <c r="I134" s="25" t="s">
        <v>31</v>
      </c>
      <c r="J134" s="26">
        <f>K134/H134</f>
        <v>74861.111111111109</v>
      </c>
      <c r="K134" s="26">
        <v>10780000</v>
      </c>
      <c r="L134" s="25"/>
      <c r="M134" s="28" t="s">
        <v>141</v>
      </c>
      <c r="N134" s="28"/>
      <c r="O134" s="57"/>
      <c r="P134" s="51">
        <v>24251466.414141413</v>
      </c>
    </row>
    <row r="135" spans="2:16" x14ac:dyDescent="0.2">
      <c r="B135" s="29" t="s">
        <v>107</v>
      </c>
      <c r="C135" s="6">
        <v>3387</v>
      </c>
      <c r="D135" s="6" t="s">
        <v>108</v>
      </c>
      <c r="E135" s="6" t="s">
        <v>30</v>
      </c>
      <c r="F135" s="6" t="s">
        <v>20</v>
      </c>
      <c r="G135" s="6"/>
      <c r="H135" s="6">
        <v>350</v>
      </c>
      <c r="I135" s="6" t="s">
        <v>31</v>
      </c>
      <c r="J135" s="18">
        <f>K135/H135</f>
        <v>4000</v>
      </c>
      <c r="K135" s="18">
        <v>1400000</v>
      </c>
      <c r="L135" s="6"/>
      <c r="M135" s="8" t="s">
        <v>113</v>
      </c>
      <c r="N135" s="8"/>
      <c r="O135" s="58"/>
      <c r="P135" s="30">
        <v>3074129.5454545449</v>
      </c>
    </row>
    <row r="136" spans="2:16" x14ac:dyDescent="0.2">
      <c r="B136" s="29" t="s">
        <v>107</v>
      </c>
      <c r="C136" s="6" t="s">
        <v>202</v>
      </c>
      <c r="D136" s="6" t="s">
        <v>212</v>
      </c>
      <c r="E136" s="6" t="s">
        <v>30</v>
      </c>
      <c r="F136" s="6" t="s">
        <v>20</v>
      </c>
      <c r="G136" s="6" t="s">
        <v>18</v>
      </c>
      <c r="H136" s="6">
        <v>280</v>
      </c>
      <c r="I136" s="6" t="s">
        <v>31</v>
      </c>
      <c r="J136" s="18">
        <f>K136/H136</f>
        <v>35000</v>
      </c>
      <c r="K136" s="18">
        <v>9800000</v>
      </c>
      <c r="L136" s="6"/>
      <c r="M136" s="7" t="s">
        <v>114</v>
      </c>
      <c r="N136" s="8"/>
      <c r="O136" s="58"/>
      <c r="P136" s="30">
        <v>22315903.367003366</v>
      </c>
    </row>
    <row r="137" spans="2:16" x14ac:dyDescent="0.2">
      <c r="B137" s="29" t="s">
        <v>107</v>
      </c>
      <c r="C137" s="6" t="s">
        <v>202</v>
      </c>
      <c r="D137" s="6" t="s">
        <v>212</v>
      </c>
      <c r="E137" s="6" t="s">
        <v>30</v>
      </c>
      <c r="F137" s="6" t="s">
        <v>20</v>
      </c>
      <c r="G137" s="6" t="s">
        <v>18</v>
      </c>
      <c r="H137" s="6">
        <v>222</v>
      </c>
      <c r="I137" s="6" t="s">
        <v>31</v>
      </c>
      <c r="J137" s="18">
        <f>K137/H137</f>
        <v>35585.585585585584</v>
      </c>
      <c r="K137" s="18">
        <v>7900000</v>
      </c>
      <c r="L137" s="6"/>
      <c r="M137" s="7" t="s">
        <v>115</v>
      </c>
      <c r="N137" s="8"/>
      <c r="O137" s="58"/>
      <c r="P137" s="30">
        <v>17989350.673400674</v>
      </c>
    </row>
    <row r="138" spans="2:16" x14ac:dyDescent="0.2">
      <c r="B138" s="29" t="s">
        <v>107</v>
      </c>
      <c r="C138" s="6" t="s">
        <v>202</v>
      </c>
      <c r="D138" s="6" t="s">
        <v>212</v>
      </c>
      <c r="E138" s="6" t="s">
        <v>30</v>
      </c>
      <c r="F138" s="6" t="s">
        <v>34</v>
      </c>
      <c r="G138" s="6" t="s">
        <v>17</v>
      </c>
      <c r="H138" s="6">
        <v>1</v>
      </c>
      <c r="I138" s="6" t="s">
        <v>36</v>
      </c>
      <c r="J138" s="18">
        <v>341967</v>
      </c>
      <c r="K138" s="18">
        <f>H138*J138</f>
        <v>341967</v>
      </c>
      <c r="L138" s="6"/>
      <c r="M138" s="7" t="s">
        <v>204</v>
      </c>
      <c r="N138" s="11" t="s">
        <v>116</v>
      </c>
      <c r="O138" s="61"/>
      <c r="P138" s="30">
        <v>410012.38027307391</v>
      </c>
    </row>
    <row r="139" spans="2:16" x14ac:dyDescent="0.2">
      <c r="B139" s="29" t="s">
        <v>107</v>
      </c>
      <c r="C139" s="6">
        <v>3387</v>
      </c>
      <c r="D139" s="6" t="s">
        <v>108</v>
      </c>
      <c r="E139" s="6" t="s">
        <v>30</v>
      </c>
      <c r="F139" s="6" t="s">
        <v>34</v>
      </c>
      <c r="G139" s="6" t="s">
        <v>17</v>
      </c>
      <c r="H139" s="6">
        <v>1</v>
      </c>
      <c r="I139" s="6" t="s">
        <v>36</v>
      </c>
      <c r="J139" s="18">
        <v>341967</v>
      </c>
      <c r="K139" s="18">
        <f>H139*J139</f>
        <v>341967</v>
      </c>
      <c r="L139" s="6"/>
      <c r="M139" s="7" t="s">
        <v>206</v>
      </c>
      <c r="N139" s="11" t="s">
        <v>116</v>
      </c>
      <c r="O139" s="61"/>
      <c r="P139" s="30">
        <v>410012.38027307391</v>
      </c>
    </row>
    <row r="140" spans="2:16" x14ac:dyDescent="0.2">
      <c r="B140" s="29" t="s">
        <v>107</v>
      </c>
      <c r="C140" s="6">
        <v>3387</v>
      </c>
      <c r="D140" s="6" t="s">
        <v>108</v>
      </c>
      <c r="E140" s="6" t="s">
        <v>30</v>
      </c>
      <c r="F140" s="6" t="s">
        <v>34</v>
      </c>
      <c r="G140" s="6" t="s">
        <v>17</v>
      </c>
      <c r="H140" s="6">
        <v>2</v>
      </c>
      <c r="I140" s="6" t="s">
        <v>36</v>
      </c>
      <c r="J140" s="18">
        <v>498336</v>
      </c>
      <c r="K140" s="18">
        <f>H140*J140</f>
        <v>996672</v>
      </c>
      <c r="L140" s="6"/>
      <c r="M140" s="7" t="s">
        <v>205</v>
      </c>
      <c r="N140" s="11" t="s">
        <v>117</v>
      </c>
      <c r="O140" s="61"/>
      <c r="P140" s="30">
        <v>1194992.0871649168</v>
      </c>
    </row>
    <row r="141" spans="2:16" x14ac:dyDescent="0.2">
      <c r="B141" s="29" t="s">
        <v>107</v>
      </c>
      <c r="C141" s="6" t="s">
        <v>202</v>
      </c>
      <c r="D141" s="6" t="s">
        <v>212</v>
      </c>
      <c r="E141" s="6" t="s">
        <v>30</v>
      </c>
      <c r="F141" s="6" t="s">
        <v>34</v>
      </c>
      <c r="G141" s="6" t="s">
        <v>17</v>
      </c>
      <c r="H141" s="6">
        <v>1</v>
      </c>
      <c r="I141" s="6" t="s">
        <v>36</v>
      </c>
      <c r="J141" s="18">
        <v>608325</v>
      </c>
      <c r="K141" s="18">
        <f>H141*J141</f>
        <v>608325</v>
      </c>
      <c r="L141" s="6"/>
      <c r="M141" s="7" t="s">
        <v>203</v>
      </c>
      <c r="N141" s="11" t="s">
        <v>118</v>
      </c>
      <c r="O141" s="61"/>
      <c r="P141" s="30">
        <v>729370.90780577564</v>
      </c>
    </row>
    <row r="142" spans="2:16" x14ac:dyDescent="0.2">
      <c r="B142" s="29" t="s">
        <v>107</v>
      </c>
      <c r="C142" s="6">
        <v>3387</v>
      </c>
      <c r="D142" s="6" t="s">
        <v>108</v>
      </c>
      <c r="E142" s="6" t="s">
        <v>39</v>
      </c>
      <c r="F142" s="6" t="s">
        <v>37</v>
      </c>
      <c r="G142" s="6" t="s">
        <v>17</v>
      </c>
      <c r="H142" s="6">
        <v>2</v>
      </c>
      <c r="I142" s="6" t="s">
        <v>36</v>
      </c>
      <c r="J142" s="18">
        <v>5535000</v>
      </c>
      <c r="K142" s="18">
        <f>H142*J142</f>
        <v>11070000</v>
      </c>
      <c r="L142" s="6"/>
      <c r="M142" s="7" t="s">
        <v>38</v>
      </c>
      <c r="N142" s="8"/>
      <c r="O142" s="58"/>
      <c r="P142" s="30">
        <v>24624369.96159336</v>
      </c>
    </row>
    <row r="143" spans="2:16" x14ac:dyDescent="0.2">
      <c r="B143" s="29" t="s">
        <v>107</v>
      </c>
      <c r="C143" s="6">
        <v>3387</v>
      </c>
      <c r="D143" s="6" t="s">
        <v>108</v>
      </c>
      <c r="E143" s="6" t="s">
        <v>39</v>
      </c>
      <c r="F143" s="6" t="s">
        <v>37</v>
      </c>
      <c r="G143" s="6" t="s">
        <v>17</v>
      </c>
      <c r="H143" s="6">
        <v>4</v>
      </c>
      <c r="I143" s="6" t="s">
        <v>36</v>
      </c>
      <c r="J143" s="18">
        <f>2170*315</f>
        <v>683550</v>
      </c>
      <c r="K143" s="18">
        <f>J143*H143</f>
        <v>2734200</v>
      </c>
      <c r="L143" s="6"/>
      <c r="M143" s="7" t="s">
        <v>296</v>
      </c>
      <c r="N143" s="8" t="s">
        <v>297</v>
      </c>
      <c r="O143" s="58"/>
      <c r="P143" s="30">
        <v>1639128.7026856958</v>
      </c>
    </row>
    <row r="144" spans="2:16" x14ac:dyDescent="0.2">
      <c r="B144" s="29" t="s">
        <v>107</v>
      </c>
      <c r="C144" s="6">
        <v>3387</v>
      </c>
      <c r="D144" s="6" t="s">
        <v>108</v>
      </c>
      <c r="E144" s="6" t="s">
        <v>39</v>
      </c>
      <c r="F144" s="6" t="s">
        <v>34</v>
      </c>
      <c r="G144" s="6" t="s">
        <v>17</v>
      </c>
      <c r="H144" s="6">
        <v>3</v>
      </c>
      <c r="I144" s="6" t="s">
        <v>36</v>
      </c>
      <c r="J144" s="18">
        <v>570881</v>
      </c>
      <c r="K144" s="18">
        <f>H144*J144</f>
        <v>1712643</v>
      </c>
      <c r="L144" s="6"/>
      <c r="M144" s="7" t="s">
        <v>85</v>
      </c>
      <c r="N144" s="8" t="s">
        <v>119</v>
      </c>
      <c r="O144" s="58"/>
      <c r="P144" s="30">
        <v>2053428.6436645002</v>
      </c>
    </row>
    <row r="145" spans="2:16" x14ac:dyDescent="0.2">
      <c r="B145" s="29" t="s">
        <v>107</v>
      </c>
      <c r="C145" s="6">
        <v>3387</v>
      </c>
      <c r="D145" s="6" t="s">
        <v>108</v>
      </c>
      <c r="E145" s="6" t="s">
        <v>39</v>
      </c>
      <c r="F145" s="6" t="s">
        <v>34</v>
      </c>
      <c r="G145" s="6" t="s">
        <v>17</v>
      </c>
      <c r="H145" s="6">
        <v>3</v>
      </c>
      <c r="I145" s="6" t="s">
        <v>36</v>
      </c>
      <c r="J145" s="18"/>
      <c r="K145" s="18"/>
      <c r="L145" s="6"/>
      <c r="M145" s="7" t="s">
        <v>261</v>
      </c>
      <c r="N145" s="8" t="s">
        <v>42</v>
      </c>
      <c r="O145" s="58"/>
      <c r="P145" s="30">
        <v>2308534.9087085589</v>
      </c>
    </row>
    <row r="146" spans="2:16" x14ac:dyDescent="0.2">
      <c r="B146" s="29" t="s">
        <v>107</v>
      </c>
      <c r="C146" s="6">
        <v>3387</v>
      </c>
      <c r="D146" s="6" t="s">
        <v>108</v>
      </c>
      <c r="E146" s="6" t="s">
        <v>39</v>
      </c>
      <c r="F146" s="6" t="s">
        <v>34</v>
      </c>
      <c r="G146" s="6" t="s">
        <v>17</v>
      </c>
      <c r="H146" s="6">
        <v>5</v>
      </c>
      <c r="I146" s="6" t="s">
        <v>36</v>
      </c>
      <c r="J146" s="18"/>
      <c r="K146" s="18"/>
      <c r="L146" s="6"/>
      <c r="M146" s="7" t="s">
        <v>261</v>
      </c>
      <c r="N146" s="8" t="s">
        <v>120</v>
      </c>
      <c r="O146" s="58"/>
      <c r="P146" s="30">
        <v>3847558.1811809316</v>
      </c>
    </row>
    <row r="147" spans="2:16" ht="15.75" x14ac:dyDescent="0.3">
      <c r="B147" s="29" t="s">
        <v>107</v>
      </c>
      <c r="C147" s="6">
        <v>3387</v>
      </c>
      <c r="D147" s="6" t="s">
        <v>108</v>
      </c>
      <c r="E147" s="6" t="s">
        <v>39</v>
      </c>
      <c r="F147" s="6" t="s">
        <v>37</v>
      </c>
      <c r="G147" s="6" t="s">
        <v>17</v>
      </c>
      <c r="H147" s="6">
        <v>2</v>
      </c>
      <c r="I147" s="6" t="s">
        <v>36</v>
      </c>
      <c r="J147" s="18">
        <v>168000</v>
      </c>
      <c r="K147" s="18">
        <f>H147*J147</f>
        <v>336000</v>
      </c>
      <c r="L147" s="6"/>
      <c r="M147" s="7" t="s">
        <v>45</v>
      </c>
      <c r="N147" s="8" t="s">
        <v>188</v>
      </c>
      <c r="O147" s="58"/>
      <c r="P147" s="30">
        <v>443623.45109626761</v>
      </c>
    </row>
    <row r="148" spans="2:16" x14ac:dyDescent="0.2">
      <c r="B148" s="29" t="s">
        <v>107</v>
      </c>
      <c r="C148" s="6">
        <v>3387</v>
      </c>
      <c r="D148" s="6" t="s">
        <v>108</v>
      </c>
      <c r="E148" s="6" t="s">
        <v>39</v>
      </c>
      <c r="F148" s="6" t="s">
        <v>37</v>
      </c>
      <c r="G148" s="6" t="s">
        <v>17</v>
      </c>
      <c r="H148" s="6">
        <v>3500</v>
      </c>
      <c r="I148" s="6" t="s">
        <v>46</v>
      </c>
      <c r="J148" s="18">
        <v>8170000</v>
      </c>
      <c r="K148" s="18">
        <f>J148*4</f>
        <v>32680000</v>
      </c>
      <c r="L148" s="6"/>
      <c r="M148" s="7" t="s">
        <v>47</v>
      </c>
      <c r="N148" s="8" t="s">
        <v>136</v>
      </c>
      <c r="O148" s="58"/>
      <c r="P148" s="30">
        <v>39182741.57250277</v>
      </c>
    </row>
    <row r="149" spans="2:16" x14ac:dyDescent="0.2">
      <c r="B149" s="29" t="s">
        <v>107</v>
      </c>
      <c r="C149" s="6">
        <v>3387</v>
      </c>
      <c r="D149" s="6" t="s">
        <v>108</v>
      </c>
      <c r="E149" s="6" t="s">
        <v>39</v>
      </c>
      <c r="F149" s="6" t="s">
        <v>37</v>
      </c>
      <c r="G149" s="6" t="s">
        <v>17</v>
      </c>
      <c r="H149" s="6">
        <v>2</v>
      </c>
      <c r="I149" s="6" t="s">
        <v>36</v>
      </c>
      <c r="J149" s="18">
        <f>315*6807</f>
        <v>2144205</v>
      </c>
      <c r="K149" s="18">
        <f t="shared" ref="K149:K175" si="13">H149*J149</f>
        <v>4288410</v>
      </c>
      <c r="L149" s="6"/>
      <c r="M149" s="7" t="s">
        <v>50</v>
      </c>
      <c r="N149" s="8" t="s">
        <v>250</v>
      </c>
      <c r="O149" s="58"/>
      <c r="P149" s="30">
        <v>5141727.6862587705</v>
      </c>
    </row>
    <row r="150" spans="2:16" x14ac:dyDescent="0.2">
      <c r="B150" s="29" t="s">
        <v>107</v>
      </c>
      <c r="C150" s="6">
        <v>3387</v>
      </c>
      <c r="D150" s="6" t="s">
        <v>108</v>
      </c>
      <c r="E150" s="6" t="s">
        <v>39</v>
      </c>
      <c r="F150" s="6" t="s">
        <v>37</v>
      </c>
      <c r="G150" s="6" t="s">
        <v>17</v>
      </c>
      <c r="H150" s="6">
        <v>2</v>
      </c>
      <c r="I150" s="6" t="s">
        <v>36</v>
      </c>
      <c r="J150" s="18">
        <f>3591*315</f>
        <v>1131165</v>
      </c>
      <c r="K150" s="18">
        <f t="shared" si="13"/>
        <v>2262330</v>
      </c>
      <c r="L150" s="6"/>
      <c r="M150" s="7" t="s">
        <v>51</v>
      </c>
      <c r="N150" s="8" t="s">
        <v>258</v>
      </c>
      <c r="O150" s="58"/>
      <c r="P150" s="30">
        <v>2712493.6273476193</v>
      </c>
    </row>
    <row r="151" spans="2:16" x14ac:dyDescent="0.2">
      <c r="B151" s="29" t="s">
        <v>107</v>
      </c>
      <c r="C151" s="6">
        <v>3387</v>
      </c>
      <c r="D151" s="6" t="s">
        <v>108</v>
      </c>
      <c r="E151" s="6" t="s">
        <v>39</v>
      </c>
      <c r="F151" s="6" t="s">
        <v>37</v>
      </c>
      <c r="G151" s="6" t="s">
        <v>17</v>
      </c>
      <c r="H151" s="6">
        <v>2</v>
      </c>
      <c r="I151" s="6" t="s">
        <v>36</v>
      </c>
      <c r="J151" s="18">
        <f>754*315</f>
        <v>237510</v>
      </c>
      <c r="K151" s="18">
        <f t="shared" si="13"/>
        <v>475020</v>
      </c>
      <c r="L151" s="6"/>
      <c r="M151" s="7" t="s">
        <v>52</v>
      </c>
      <c r="N151" s="8" t="s">
        <v>259</v>
      </c>
      <c r="O151" s="58"/>
      <c r="P151" s="30">
        <v>569540.57226959197</v>
      </c>
    </row>
    <row r="152" spans="2:16" x14ac:dyDescent="0.2">
      <c r="B152" s="29" t="s">
        <v>107</v>
      </c>
      <c r="C152" s="6">
        <v>3387</v>
      </c>
      <c r="D152" s="6" t="s">
        <v>108</v>
      </c>
      <c r="E152" s="6" t="s">
        <v>39</v>
      </c>
      <c r="F152" s="6" t="s">
        <v>37</v>
      </c>
      <c r="G152" s="6" t="s">
        <v>17</v>
      </c>
      <c r="H152" s="6">
        <v>2</v>
      </c>
      <c r="I152" s="6" t="s">
        <v>36</v>
      </c>
      <c r="J152" s="18">
        <f>240*315</f>
        <v>75600</v>
      </c>
      <c r="K152" s="18">
        <f t="shared" si="13"/>
        <v>151200</v>
      </c>
      <c r="L152" s="6"/>
      <c r="M152" s="7" t="s">
        <v>122</v>
      </c>
      <c r="N152" s="8" t="s">
        <v>121</v>
      </c>
      <c r="O152" s="58"/>
      <c r="P152" s="30">
        <v>181286.12379933964</v>
      </c>
    </row>
    <row r="153" spans="2:16" x14ac:dyDescent="0.2">
      <c r="B153" s="29" t="s">
        <v>107</v>
      </c>
      <c r="C153" s="6">
        <v>3387</v>
      </c>
      <c r="D153" s="6" t="s">
        <v>108</v>
      </c>
      <c r="E153" s="6" t="s">
        <v>39</v>
      </c>
      <c r="F153" s="6" t="s">
        <v>37</v>
      </c>
      <c r="G153" s="6" t="s">
        <v>17</v>
      </c>
      <c r="H153" s="6">
        <v>1</v>
      </c>
      <c r="I153" s="6" t="s">
        <v>36</v>
      </c>
      <c r="J153" s="18">
        <f>2358*315</f>
        <v>742770</v>
      </c>
      <c r="K153" s="18">
        <f t="shared" si="13"/>
        <v>742770</v>
      </c>
      <c r="L153" s="6"/>
      <c r="M153" s="7" t="s">
        <v>122</v>
      </c>
      <c r="N153" s="8" t="s">
        <v>123</v>
      </c>
      <c r="O153" s="58"/>
      <c r="P153" s="30">
        <v>890568.08316425595</v>
      </c>
    </row>
    <row r="154" spans="2:16" x14ac:dyDescent="0.2">
      <c r="B154" s="29" t="s">
        <v>107</v>
      </c>
      <c r="C154" s="6">
        <v>3387</v>
      </c>
      <c r="D154" s="6" t="s">
        <v>108</v>
      </c>
      <c r="E154" s="6" t="s">
        <v>39</v>
      </c>
      <c r="F154" s="6" t="s">
        <v>34</v>
      </c>
      <c r="G154" s="6" t="s">
        <v>17</v>
      </c>
      <c r="H154" s="6">
        <v>2</v>
      </c>
      <c r="I154" s="6" t="s">
        <v>36</v>
      </c>
      <c r="J154" s="18">
        <v>793580</v>
      </c>
      <c r="K154" s="18">
        <f t="shared" si="13"/>
        <v>1587160</v>
      </c>
      <c r="L154" s="6"/>
      <c r="M154" s="7" t="s">
        <v>59</v>
      </c>
      <c r="N154" s="8" t="s">
        <v>275</v>
      </c>
      <c r="O154" s="58"/>
      <c r="P154" s="30">
        <v>1902976.7476809516</v>
      </c>
    </row>
    <row r="155" spans="2:16" x14ac:dyDescent="0.2">
      <c r="B155" s="29" t="s">
        <v>107</v>
      </c>
      <c r="C155" s="6">
        <v>3387</v>
      </c>
      <c r="D155" s="6" t="s">
        <v>108</v>
      </c>
      <c r="E155" s="6" t="s">
        <v>39</v>
      </c>
      <c r="F155" s="6" t="s">
        <v>37</v>
      </c>
      <c r="G155" s="6" t="s">
        <v>17</v>
      </c>
      <c r="H155" s="6">
        <v>1</v>
      </c>
      <c r="I155" s="6" t="s">
        <v>36</v>
      </c>
      <c r="J155" s="18">
        <f>5800*315</f>
        <v>1827000</v>
      </c>
      <c r="K155" s="18">
        <f t="shared" si="13"/>
        <v>1827000</v>
      </c>
      <c r="L155" s="6"/>
      <c r="M155" s="7" t="s">
        <v>54</v>
      </c>
      <c r="N155" s="8" t="s">
        <v>124</v>
      </c>
      <c r="O155" s="58"/>
      <c r="P155" s="30">
        <v>2077236.8352007666</v>
      </c>
    </row>
    <row r="156" spans="2:16" x14ac:dyDescent="0.2">
      <c r="B156" s="29" t="s">
        <v>107</v>
      </c>
      <c r="C156" s="6">
        <v>3387</v>
      </c>
      <c r="D156" s="6" t="s">
        <v>108</v>
      </c>
      <c r="E156" s="6" t="s">
        <v>39</v>
      </c>
      <c r="F156" s="6" t="s">
        <v>34</v>
      </c>
      <c r="G156" s="6" t="s">
        <v>17</v>
      </c>
      <c r="H156" s="6">
        <v>2</v>
      </c>
      <c r="I156" s="6" t="s">
        <v>36</v>
      </c>
      <c r="J156" s="18">
        <v>49883</v>
      </c>
      <c r="K156" s="18">
        <f t="shared" si="13"/>
        <v>99766</v>
      </c>
      <c r="L156" s="6"/>
      <c r="M156" s="7" t="s">
        <v>49</v>
      </c>
      <c r="N156" s="8" t="s">
        <v>125</v>
      </c>
      <c r="O156" s="58"/>
      <c r="P156" s="30">
        <v>119617.66816775739</v>
      </c>
    </row>
    <row r="157" spans="2:16" x14ac:dyDescent="0.2">
      <c r="B157" s="29" t="s">
        <v>107</v>
      </c>
      <c r="C157" s="6">
        <v>3387</v>
      </c>
      <c r="D157" s="6" t="s">
        <v>108</v>
      </c>
      <c r="E157" s="6" t="s">
        <v>39</v>
      </c>
      <c r="F157" s="6" t="s">
        <v>34</v>
      </c>
      <c r="G157" s="6" t="s">
        <v>17</v>
      </c>
      <c r="H157" s="6">
        <v>2</v>
      </c>
      <c r="I157" s="6" t="s">
        <v>36</v>
      </c>
      <c r="J157" s="18">
        <v>330813</v>
      </c>
      <c r="K157" s="18">
        <f t="shared" si="13"/>
        <v>661626</v>
      </c>
      <c r="L157" s="6"/>
      <c r="M157" s="7" t="s">
        <v>126</v>
      </c>
      <c r="N157" s="8" t="s">
        <v>274</v>
      </c>
      <c r="O157" s="58"/>
      <c r="P157" s="30">
        <v>793277.86339194363</v>
      </c>
    </row>
    <row r="158" spans="2:16" x14ac:dyDescent="0.2">
      <c r="B158" s="29" t="s">
        <v>107</v>
      </c>
      <c r="C158" s="6">
        <v>3387</v>
      </c>
      <c r="D158" s="6" t="s">
        <v>108</v>
      </c>
      <c r="E158" s="6" t="s">
        <v>39</v>
      </c>
      <c r="F158" s="6" t="s">
        <v>34</v>
      </c>
      <c r="G158" s="6" t="s">
        <v>17</v>
      </c>
      <c r="H158" s="6">
        <v>5</v>
      </c>
      <c r="I158" s="6" t="s">
        <v>36</v>
      </c>
      <c r="J158" s="18">
        <v>570881</v>
      </c>
      <c r="K158" s="18">
        <f t="shared" si="13"/>
        <v>2854405</v>
      </c>
      <c r="L158" s="6"/>
      <c r="M158" s="7" t="s">
        <v>57</v>
      </c>
      <c r="N158" s="8" t="s">
        <v>127</v>
      </c>
      <c r="O158" s="58"/>
      <c r="P158" s="30">
        <v>3422381.0727741667</v>
      </c>
    </row>
    <row r="159" spans="2:16" x14ac:dyDescent="0.2">
      <c r="B159" s="29" t="s">
        <v>107</v>
      </c>
      <c r="C159" s="6">
        <v>3387</v>
      </c>
      <c r="D159" s="6" t="s">
        <v>108</v>
      </c>
      <c r="E159" s="6" t="s">
        <v>39</v>
      </c>
      <c r="F159" s="6" t="s">
        <v>34</v>
      </c>
      <c r="G159" s="6" t="s">
        <v>17</v>
      </c>
      <c r="H159" s="6">
        <v>3</v>
      </c>
      <c r="I159" s="6" t="s">
        <v>36</v>
      </c>
      <c r="J159" s="18">
        <v>330813</v>
      </c>
      <c r="K159" s="18">
        <f t="shared" si="13"/>
        <v>992439</v>
      </c>
      <c r="L159" s="6"/>
      <c r="M159" s="7" t="s">
        <v>128</v>
      </c>
      <c r="N159" s="8" t="s">
        <v>274</v>
      </c>
      <c r="O159" s="58"/>
      <c r="P159" s="30">
        <v>1189916.7950879154</v>
      </c>
    </row>
    <row r="160" spans="2:16" x14ac:dyDescent="0.2">
      <c r="B160" s="29" t="s">
        <v>107</v>
      </c>
      <c r="C160" s="6">
        <v>3387</v>
      </c>
      <c r="D160" s="6" t="s">
        <v>108</v>
      </c>
      <c r="E160" s="6" t="s">
        <v>39</v>
      </c>
      <c r="F160" s="6" t="s">
        <v>34</v>
      </c>
      <c r="G160" s="6" t="s">
        <v>17</v>
      </c>
      <c r="H160" s="6">
        <v>4</v>
      </c>
      <c r="I160" s="6" t="s">
        <v>36</v>
      </c>
      <c r="J160" s="18">
        <v>630105</v>
      </c>
      <c r="K160" s="18">
        <f t="shared" si="13"/>
        <v>2520420</v>
      </c>
      <c r="L160" s="6"/>
      <c r="M160" s="7" t="s">
        <v>103</v>
      </c>
      <c r="N160" s="8" t="s">
        <v>132</v>
      </c>
      <c r="O160" s="58"/>
      <c r="P160" s="30">
        <v>3414701.5911410004</v>
      </c>
    </row>
    <row r="161" spans="2:16" x14ac:dyDescent="0.2">
      <c r="B161" s="29" t="s">
        <v>107</v>
      </c>
      <c r="C161" s="6">
        <v>3387</v>
      </c>
      <c r="D161" s="6" t="s">
        <v>108</v>
      </c>
      <c r="E161" s="6" t="s">
        <v>39</v>
      </c>
      <c r="F161" s="6" t="s">
        <v>34</v>
      </c>
      <c r="G161" s="6" t="s">
        <v>17</v>
      </c>
      <c r="H161" s="6">
        <v>2</v>
      </c>
      <c r="I161" s="6" t="s">
        <v>36</v>
      </c>
      <c r="J161" s="18">
        <v>1061370</v>
      </c>
      <c r="K161" s="18">
        <f t="shared" si="13"/>
        <v>2122740</v>
      </c>
      <c r="L161" s="6"/>
      <c r="M161" s="7" t="s">
        <v>103</v>
      </c>
      <c r="N161" s="8" t="s">
        <v>133</v>
      </c>
      <c r="O161" s="58"/>
      <c r="P161" s="30">
        <v>2519339.9767403044</v>
      </c>
    </row>
    <row r="162" spans="2:16" x14ac:dyDescent="0.2">
      <c r="B162" s="29" t="s">
        <v>107</v>
      </c>
      <c r="C162" s="6">
        <v>3387</v>
      </c>
      <c r="D162" s="6" t="s">
        <v>108</v>
      </c>
      <c r="E162" s="6" t="s">
        <v>39</v>
      </c>
      <c r="F162" s="6" t="s">
        <v>37</v>
      </c>
      <c r="G162" s="6" t="s">
        <v>17</v>
      </c>
      <c r="H162" s="4">
        <v>2</v>
      </c>
      <c r="I162" s="6" t="s">
        <v>36</v>
      </c>
      <c r="J162" s="18">
        <f>17921</f>
        <v>17921</v>
      </c>
      <c r="K162" s="18">
        <f t="shared" si="13"/>
        <v>35842</v>
      </c>
      <c r="L162" s="6"/>
      <c r="M162" s="12" t="s">
        <v>105</v>
      </c>
      <c r="N162" s="12" t="s">
        <v>67</v>
      </c>
      <c r="O162" s="64"/>
      <c r="P162" s="30">
        <v>42973.923605925469</v>
      </c>
    </row>
    <row r="163" spans="2:16" x14ac:dyDescent="0.2">
      <c r="B163" s="29" t="s">
        <v>107</v>
      </c>
      <c r="C163" s="6">
        <v>3387</v>
      </c>
      <c r="D163" s="6" t="s">
        <v>108</v>
      </c>
      <c r="E163" s="6" t="s">
        <v>39</v>
      </c>
      <c r="F163" s="6" t="s">
        <v>37</v>
      </c>
      <c r="G163" s="6" t="s">
        <v>17</v>
      </c>
      <c r="H163" s="4">
        <f>3+3</f>
        <v>6</v>
      </c>
      <c r="I163" s="6" t="s">
        <v>36</v>
      </c>
      <c r="J163" s="18">
        <v>22695</v>
      </c>
      <c r="K163" s="18">
        <f t="shared" si="13"/>
        <v>136170</v>
      </c>
      <c r="L163" s="6"/>
      <c r="M163" s="12" t="s">
        <v>105</v>
      </c>
      <c r="N163" s="12" t="s">
        <v>62</v>
      </c>
      <c r="O163" s="64"/>
      <c r="P163" s="30">
        <v>163265.41982642908</v>
      </c>
    </row>
    <row r="164" spans="2:16" x14ac:dyDescent="0.2">
      <c r="B164" s="29" t="s">
        <v>107</v>
      </c>
      <c r="C164" s="6">
        <v>3387</v>
      </c>
      <c r="D164" s="6" t="s">
        <v>108</v>
      </c>
      <c r="E164" s="6" t="s">
        <v>39</v>
      </c>
      <c r="F164" s="6" t="s">
        <v>37</v>
      </c>
      <c r="G164" s="6" t="s">
        <v>17</v>
      </c>
      <c r="H164" s="4">
        <v>2</v>
      </c>
      <c r="I164" s="6" t="s">
        <v>36</v>
      </c>
      <c r="J164" s="18">
        <v>45632</v>
      </c>
      <c r="K164" s="18">
        <f t="shared" si="13"/>
        <v>91264</v>
      </c>
      <c r="L164" s="6"/>
      <c r="M164" s="12" t="s">
        <v>105</v>
      </c>
      <c r="N164" s="12" t="s">
        <v>64</v>
      </c>
      <c r="O164" s="64"/>
      <c r="P164" s="30">
        <v>109423.92065094532</v>
      </c>
    </row>
    <row r="165" spans="2:16" x14ac:dyDescent="0.2">
      <c r="B165" s="29" t="s">
        <v>107</v>
      </c>
      <c r="C165" s="6">
        <v>3387</v>
      </c>
      <c r="D165" s="6" t="s">
        <v>108</v>
      </c>
      <c r="E165" s="6" t="s">
        <v>39</v>
      </c>
      <c r="F165" s="6" t="s">
        <v>37</v>
      </c>
      <c r="G165" s="6" t="s">
        <v>17</v>
      </c>
      <c r="H165" s="4">
        <v>15</v>
      </c>
      <c r="I165" s="6" t="s">
        <v>36</v>
      </c>
      <c r="J165" s="18">
        <v>15394</v>
      </c>
      <c r="K165" s="18">
        <f t="shared" si="13"/>
        <v>230910</v>
      </c>
      <c r="L165" s="6"/>
      <c r="M165" s="12" t="s">
        <v>61</v>
      </c>
      <c r="N165" s="12" t="s">
        <v>62</v>
      </c>
      <c r="O165" s="64"/>
      <c r="P165" s="30">
        <v>276857.00295307877</v>
      </c>
    </row>
    <row r="166" spans="2:16" x14ac:dyDescent="0.2">
      <c r="B166" s="29" t="s">
        <v>107</v>
      </c>
      <c r="C166" s="6">
        <v>3387</v>
      </c>
      <c r="D166" s="6" t="s">
        <v>108</v>
      </c>
      <c r="E166" s="6" t="s">
        <v>39</v>
      </c>
      <c r="F166" s="6" t="s">
        <v>37</v>
      </c>
      <c r="G166" s="6" t="s">
        <v>17</v>
      </c>
      <c r="H166" s="4">
        <v>22</v>
      </c>
      <c r="I166" s="6" t="s">
        <v>36</v>
      </c>
      <c r="J166" s="18">
        <v>23256</v>
      </c>
      <c r="K166" s="18">
        <f t="shared" si="13"/>
        <v>511632</v>
      </c>
      <c r="L166" s="6"/>
      <c r="M166" s="12" t="s">
        <v>61</v>
      </c>
      <c r="N166" s="12" t="s">
        <v>63</v>
      </c>
      <c r="O166" s="64"/>
      <c r="P166" s="30">
        <v>613437.71224671777</v>
      </c>
    </row>
    <row r="167" spans="2:16" x14ac:dyDescent="0.2">
      <c r="B167" s="29" t="s">
        <v>107</v>
      </c>
      <c r="C167" s="6">
        <v>3387</v>
      </c>
      <c r="D167" s="6" t="s">
        <v>108</v>
      </c>
      <c r="E167" s="6" t="s">
        <v>39</v>
      </c>
      <c r="F167" s="6" t="s">
        <v>37</v>
      </c>
      <c r="G167" s="6" t="s">
        <v>17</v>
      </c>
      <c r="H167" s="4">
        <v>7</v>
      </c>
      <c r="I167" s="6" t="s">
        <v>36</v>
      </c>
      <c r="J167" s="18">
        <v>31952</v>
      </c>
      <c r="K167" s="18">
        <f t="shared" si="13"/>
        <v>223664</v>
      </c>
      <c r="L167" s="6"/>
      <c r="M167" s="12" t="s">
        <v>61</v>
      </c>
      <c r="N167" s="12" t="s">
        <v>64</v>
      </c>
      <c r="O167" s="64"/>
      <c r="P167" s="30">
        <v>268169.1772053935</v>
      </c>
    </row>
    <row r="168" spans="2:16" x14ac:dyDescent="0.2">
      <c r="B168" s="29" t="s">
        <v>107</v>
      </c>
      <c r="C168" s="6">
        <v>3387</v>
      </c>
      <c r="D168" s="6" t="s">
        <v>108</v>
      </c>
      <c r="E168" s="6" t="s">
        <v>39</v>
      </c>
      <c r="F168" s="6" t="s">
        <v>37</v>
      </c>
      <c r="G168" s="6" t="s">
        <v>17</v>
      </c>
      <c r="H168" s="4">
        <v>4</v>
      </c>
      <c r="I168" s="6" t="s">
        <v>36</v>
      </c>
      <c r="J168" s="18">
        <v>94530</v>
      </c>
      <c r="K168" s="18">
        <f t="shared" si="13"/>
        <v>378120</v>
      </c>
      <c r="L168" s="6"/>
      <c r="M168" s="12" t="s">
        <v>61</v>
      </c>
      <c r="N168" s="12" t="s">
        <v>68</v>
      </c>
      <c r="O168" s="64"/>
      <c r="P168" s="30">
        <v>314612.95558827196</v>
      </c>
    </row>
    <row r="169" spans="2:16" x14ac:dyDescent="0.2">
      <c r="B169" s="29" t="s">
        <v>107</v>
      </c>
      <c r="C169" s="6">
        <v>3387</v>
      </c>
      <c r="D169" s="6" t="s">
        <v>108</v>
      </c>
      <c r="E169" s="6" t="s">
        <v>39</v>
      </c>
      <c r="F169" s="6" t="s">
        <v>34</v>
      </c>
      <c r="G169" s="6" t="s">
        <v>17</v>
      </c>
      <c r="H169" s="4">
        <v>7</v>
      </c>
      <c r="I169" s="6" t="s">
        <v>36</v>
      </c>
      <c r="J169" s="18">
        <v>93664</v>
      </c>
      <c r="K169" s="18">
        <f t="shared" si="13"/>
        <v>655648</v>
      </c>
      <c r="L169" s="6"/>
      <c r="M169" s="12" t="s">
        <v>65</v>
      </c>
      <c r="N169" s="12" t="s">
        <v>62</v>
      </c>
      <c r="O169" s="64"/>
      <c r="P169" s="30">
        <v>786110.34720098833</v>
      </c>
    </row>
    <row r="170" spans="2:16" x14ac:dyDescent="0.2">
      <c r="B170" s="29" t="s">
        <v>107</v>
      </c>
      <c r="C170" s="6">
        <v>3387</v>
      </c>
      <c r="D170" s="6" t="s">
        <v>108</v>
      </c>
      <c r="E170" s="6" t="s">
        <v>39</v>
      </c>
      <c r="F170" s="6" t="s">
        <v>34</v>
      </c>
      <c r="G170" s="6" t="s">
        <v>17</v>
      </c>
      <c r="H170" s="4">
        <v>20</v>
      </c>
      <c r="I170" s="6" t="s">
        <v>36</v>
      </c>
      <c r="J170" s="18">
        <v>135331</v>
      </c>
      <c r="K170" s="18">
        <f t="shared" si="13"/>
        <v>2706620</v>
      </c>
      <c r="L170" s="6"/>
      <c r="M170" s="12" t="s">
        <v>65</v>
      </c>
      <c r="N170" s="12" t="s">
        <v>63</v>
      </c>
      <c r="O170" s="64"/>
      <c r="P170" s="30">
        <v>3245189.4735302157</v>
      </c>
    </row>
    <row r="171" spans="2:16" x14ac:dyDescent="0.2">
      <c r="B171" s="29" t="s">
        <v>107</v>
      </c>
      <c r="C171" s="6">
        <v>3387</v>
      </c>
      <c r="D171" s="6" t="s">
        <v>108</v>
      </c>
      <c r="E171" s="6" t="s">
        <v>39</v>
      </c>
      <c r="F171" s="6" t="s">
        <v>34</v>
      </c>
      <c r="G171" s="6" t="s">
        <v>17</v>
      </c>
      <c r="H171" s="4">
        <v>2</v>
      </c>
      <c r="I171" s="6" t="s">
        <v>36</v>
      </c>
      <c r="J171" s="18">
        <v>195353</v>
      </c>
      <c r="K171" s="18">
        <f t="shared" si="13"/>
        <v>390706</v>
      </c>
      <c r="L171" s="6"/>
      <c r="M171" s="12" t="s">
        <v>65</v>
      </c>
      <c r="N171" s="12" t="s">
        <v>68</v>
      </c>
      <c r="O171" s="64"/>
      <c r="P171" s="30">
        <v>468449.57860545494</v>
      </c>
    </row>
    <row r="172" spans="2:16" x14ac:dyDescent="0.2">
      <c r="B172" s="29" t="s">
        <v>107</v>
      </c>
      <c r="C172" s="6">
        <v>3387</v>
      </c>
      <c r="D172" s="6" t="s">
        <v>108</v>
      </c>
      <c r="E172" s="6" t="s">
        <v>39</v>
      </c>
      <c r="F172" s="6" t="s">
        <v>37</v>
      </c>
      <c r="G172" s="6" t="s">
        <v>17</v>
      </c>
      <c r="H172" s="6">
        <v>2</v>
      </c>
      <c r="I172" s="6" t="s">
        <v>36</v>
      </c>
      <c r="J172" s="18">
        <v>410000</v>
      </c>
      <c r="K172" s="18">
        <f t="shared" si="13"/>
        <v>820000</v>
      </c>
      <c r="L172" s="6"/>
      <c r="M172" s="7" t="s">
        <v>106</v>
      </c>
      <c r="N172" s="8" t="s">
        <v>134</v>
      </c>
      <c r="O172" s="58"/>
      <c r="P172" s="30">
        <v>983477.22161141748</v>
      </c>
    </row>
    <row r="173" spans="2:16" x14ac:dyDescent="0.2">
      <c r="B173" s="29" t="s">
        <v>107</v>
      </c>
      <c r="C173" s="6">
        <v>3387</v>
      </c>
      <c r="D173" s="6" t="s">
        <v>108</v>
      </c>
      <c r="E173" s="6" t="s">
        <v>39</v>
      </c>
      <c r="F173" s="6" t="s">
        <v>37</v>
      </c>
      <c r="G173" s="6" t="s">
        <v>17</v>
      </c>
      <c r="H173" s="6">
        <v>2</v>
      </c>
      <c r="I173" s="6" t="s">
        <v>36</v>
      </c>
      <c r="J173" s="18">
        <v>538000</v>
      </c>
      <c r="K173" s="18">
        <f t="shared" si="13"/>
        <v>1076000</v>
      </c>
      <c r="L173" s="6"/>
      <c r="M173" s="7" t="s">
        <v>106</v>
      </c>
      <c r="N173" s="8" t="s">
        <v>135</v>
      </c>
      <c r="O173" s="58"/>
      <c r="P173" s="30">
        <v>1290104.9550799567</v>
      </c>
    </row>
    <row r="174" spans="2:16" x14ac:dyDescent="0.2">
      <c r="B174" s="29" t="s">
        <v>107</v>
      </c>
      <c r="C174" s="6">
        <v>3387</v>
      </c>
      <c r="D174" s="6" t="s">
        <v>108</v>
      </c>
      <c r="E174" s="6" t="s">
        <v>39</v>
      </c>
      <c r="F174" s="6" t="s">
        <v>37</v>
      </c>
      <c r="G174" s="6" t="s">
        <v>17</v>
      </c>
      <c r="H174" s="6">
        <v>2</v>
      </c>
      <c r="I174" s="6" t="s">
        <v>36</v>
      </c>
      <c r="J174" s="18">
        <v>94450</v>
      </c>
      <c r="K174" s="18">
        <f t="shared" si="13"/>
        <v>188900</v>
      </c>
      <c r="L174" s="6"/>
      <c r="M174" s="7" t="s">
        <v>231</v>
      </c>
      <c r="N174" s="8" t="s">
        <v>67</v>
      </c>
      <c r="O174" s="58"/>
      <c r="P174" s="30">
        <v>226487.7565191485</v>
      </c>
    </row>
    <row r="175" spans="2:16" x14ac:dyDescent="0.2">
      <c r="B175" s="29" t="s">
        <v>107</v>
      </c>
      <c r="C175" s="6">
        <v>3387</v>
      </c>
      <c r="D175" s="6" t="s">
        <v>108</v>
      </c>
      <c r="E175" s="6" t="s">
        <v>39</v>
      </c>
      <c r="F175" s="6" t="s">
        <v>37</v>
      </c>
      <c r="G175" s="6" t="s">
        <v>17</v>
      </c>
      <c r="H175" s="6">
        <v>4</v>
      </c>
      <c r="I175" s="6" t="s">
        <v>36</v>
      </c>
      <c r="J175" s="18">
        <v>108190</v>
      </c>
      <c r="K175" s="18">
        <f t="shared" si="13"/>
        <v>432760</v>
      </c>
      <c r="L175" s="6"/>
      <c r="M175" s="7" t="s">
        <v>231</v>
      </c>
      <c r="N175" s="8" t="s">
        <v>62</v>
      </c>
      <c r="O175" s="58"/>
      <c r="P175" s="30">
        <v>518871.58026059665</v>
      </c>
    </row>
    <row r="176" spans="2:16" x14ac:dyDescent="0.2">
      <c r="B176" s="29" t="s">
        <v>107</v>
      </c>
      <c r="C176" s="6">
        <v>3387</v>
      </c>
      <c r="D176" s="6" t="s">
        <v>108</v>
      </c>
      <c r="E176" s="6" t="s">
        <v>39</v>
      </c>
      <c r="F176" s="6" t="s">
        <v>37</v>
      </c>
      <c r="G176" s="6" t="s">
        <v>17</v>
      </c>
      <c r="H176" s="6">
        <v>2</v>
      </c>
      <c r="I176" s="6" t="s">
        <v>36</v>
      </c>
      <c r="J176" s="18"/>
      <c r="K176" s="18"/>
      <c r="L176" s="6"/>
      <c r="M176" s="7" t="s">
        <v>169</v>
      </c>
      <c r="N176" s="8" t="s">
        <v>167</v>
      </c>
      <c r="O176" s="58"/>
      <c r="P176" s="30">
        <v>578269.16341548611</v>
      </c>
    </row>
    <row r="177" spans="2:16" ht="14.25" x14ac:dyDescent="0.2">
      <c r="B177" s="29" t="s">
        <v>107</v>
      </c>
      <c r="C177" s="6">
        <v>3387</v>
      </c>
      <c r="D177" s="6" t="s">
        <v>108</v>
      </c>
      <c r="E177" s="6" t="s">
        <v>15</v>
      </c>
      <c r="F177" s="6" t="s">
        <v>16</v>
      </c>
      <c r="G177" s="6" t="s">
        <v>17</v>
      </c>
      <c r="H177" s="6">
        <v>182.09</v>
      </c>
      <c r="I177" s="6" t="s">
        <v>28</v>
      </c>
      <c r="J177" s="18">
        <v>180000</v>
      </c>
      <c r="K177" s="18">
        <f>H177*J177</f>
        <v>32776200</v>
      </c>
      <c r="L177" s="6"/>
      <c r="M177" s="7" t="s">
        <v>87</v>
      </c>
      <c r="N177" s="8"/>
      <c r="O177" s="58"/>
      <c r="P177" s="30">
        <v>89334251.621723503</v>
      </c>
    </row>
    <row r="178" spans="2:16" x14ac:dyDescent="0.2">
      <c r="B178" s="29" t="s">
        <v>107</v>
      </c>
      <c r="C178" s="6" t="s">
        <v>202</v>
      </c>
      <c r="D178" s="6" t="s">
        <v>212</v>
      </c>
      <c r="E178" s="6" t="s">
        <v>15</v>
      </c>
      <c r="F178" s="6" t="s">
        <v>37</v>
      </c>
      <c r="G178" s="6" t="s">
        <v>17</v>
      </c>
      <c r="H178" s="6">
        <v>1</v>
      </c>
      <c r="I178" s="6" t="s">
        <v>36</v>
      </c>
      <c r="J178" s="18">
        <v>462200</v>
      </c>
      <c r="K178" s="18">
        <f>J178*H178</f>
        <v>462200</v>
      </c>
      <c r="L178" s="6"/>
      <c r="M178" s="7" t="s">
        <v>219</v>
      </c>
      <c r="N178" s="17" t="s">
        <v>222</v>
      </c>
      <c r="O178" s="62"/>
      <c r="P178" s="30">
        <v>554169.6191802565</v>
      </c>
    </row>
    <row r="179" spans="2:16" x14ac:dyDescent="0.2">
      <c r="B179" s="29" t="s">
        <v>107</v>
      </c>
      <c r="C179" s="6" t="s">
        <v>202</v>
      </c>
      <c r="D179" s="6" t="s">
        <v>212</v>
      </c>
      <c r="E179" s="6" t="s">
        <v>15</v>
      </c>
      <c r="F179" s="6" t="s">
        <v>37</v>
      </c>
      <c r="G179" s="6" t="s">
        <v>17</v>
      </c>
      <c r="H179" s="6">
        <v>2</v>
      </c>
      <c r="I179" s="6" t="s">
        <v>36</v>
      </c>
      <c r="J179" s="18">
        <f>482400</f>
        <v>482400</v>
      </c>
      <c r="K179" s="18">
        <f>J179*H179</f>
        <v>964800</v>
      </c>
      <c r="L179" s="6"/>
      <c r="M179" s="7" t="s">
        <v>219</v>
      </c>
      <c r="N179" s="17" t="s">
        <v>223</v>
      </c>
      <c r="O179" s="62"/>
      <c r="P179" s="30">
        <v>1156778.1232910242</v>
      </c>
    </row>
    <row r="180" spans="2:16" x14ac:dyDescent="0.2">
      <c r="B180" s="29" t="s">
        <v>107</v>
      </c>
      <c r="C180" s="6">
        <v>3387</v>
      </c>
      <c r="D180" s="6" t="s">
        <v>108</v>
      </c>
      <c r="E180" s="6" t="s">
        <v>15</v>
      </c>
      <c r="F180" s="6" t="s">
        <v>37</v>
      </c>
      <c r="G180" s="6" t="s">
        <v>17</v>
      </c>
      <c r="H180" s="4">
        <v>4</v>
      </c>
      <c r="I180" s="6" t="s">
        <v>36</v>
      </c>
      <c r="J180" s="18">
        <v>27495</v>
      </c>
      <c r="K180" s="18">
        <f>H180*J180</f>
        <v>109980</v>
      </c>
      <c r="L180" s="6"/>
      <c r="M180" s="12" t="s">
        <v>129</v>
      </c>
      <c r="N180" s="12" t="s">
        <v>67</v>
      </c>
      <c r="O180" s="64"/>
      <c r="P180" s="30">
        <v>132151.82913467733</v>
      </c>
    </row>
    <row r="181" spans="2:16" x14ac:dyDescent="0.2">
      <c r="B181" s="29" t="s">
        <v>107</v>
      </c>
      <c r="C181" s="6">
        <v>3387</v>
      </c>
      <c r="D181" s="6" t="s">
        <v>108</v>
      </c>
      <c r="E181" s="6" t="s">
        <v>15</v>
      </c>
      <c r="F181" s="6" t="s">
        <v>37</v>
      </c>
      <c r="G181" s="6" t="s">
        <v>17</v>
      </c>
      <c r="H181" s="4">
        <f>6+1</f>
        <v>7</v>
      </c>
      <c r="I181" s="6" t="s">
        <v>36</v>
      </c>
      <c r="J181" s="18">
        <v>32948</v>
      </c>
      <c r="K181" s="18">
        <f>H181*J181</f>
        <v>230636</v>
      </c>
      <c r="L181" s="6"/>
      <c r="M181" s="12" t="s">
        <v>129</v>
      </c>
      <c r="N181" s="12" t="s">
        <v>62</v>
      </c>
      <c r="O181" s="64"/>
      <c r="P181" s="30">
        <v>260321.83805019062</v>
      </c>
    </row>
    <row r="182" spans="2:16" x14ac:dyDescent="0.2">
      <c r="B182" s="29" t="s">
        <v>107</v>
      </c>
      <c r="C182" s="6">
        <v>3387</v>
      </c>
      <c r="D182" s="6" t="s">
        <v>108</v>
      </c>
      <c r="E182" s="6" t="s">
        <v>15</v>
      </c>
      <c r="F182" s="6" t="s">
        <v>37</v>
      </c>
      <c r="G182" s="6" t="s">
        <v>17</v>
      </c>
      <c r="H182" s="4">
        <f>1</f>
        <v>1</v>
      </c>
      <c r="I182" s="6" t="s">
        <v>36</v>
      </c>
      <c r="J182" s="18">
        <v>50618</v>
      </c>
      <c r="K182" s="18">
        <f>H182*J182</f>
        <v>50618</v>
      </c>
      <c r="L182" s="6"/>
      <c r="M182" s="12" t="s">
        <v>129</v>
      </c>
      <c r="N182" s="12" t="s">
        <v>130</v>
      </c>
      <c r="O182" s="64"/>
      <c r="P182" s="30">
        <v>54636.424440556264</v>
      </c>
    </row>
    <row r="183" spans="2:16" x14ac:dyDescent="0.2">
      <c r="B183" s="29" t="s">
        <v>107</v>
      </c>
      <c r="C183" s="6">
        <v>3387</v>
      </c>
      <c r="D183" s="6" t="s">
        <v>108</v>
      </c>
      <c r="E183" s="6" t="s">
        <v>15</v>
      </c>
      <c r="F183" s="6" t="s">
        <v>37</v>
      </c>
      <c r="G183" s="6" t="s">
        <v>17</v>
      </c>
      <c r="H183" s="4">
        <f>4+2+2+4</f>
        <v>12</v>
      </c>
      <c r="I183" s="6" t="s">
        <v>36</v>
      </c>
      <c r="J183" s="18">
        <v>76350</v>
      </c>
      <c r="K183" s="18">
        <f>H183*J183</f>
        <v>916200</v>
      </c>
      <c r="L183" s="6"/>
      <c r="M183" s="12" t="s">
        <v>129</v>
      </c>
      <c r="N183" s="12" t="s">
        <v>64</v>
      </c>
      <c r="O183" s="64"/>
      <c r="P183" s="30">
        <v>1167525.8006305567</v>
      </c>
    </row>
    <row r="184" spans="2:16" x14ac:dyDescent="0.2">
      <c r="B184" s="29" t="s">
        <v>107</v>
      </c>
      <c r="C184" s="6">
        <v>3387</v>
      </c>
      <c r="D184" s="6" t="s">
        <v>108</v>
      </c>
      <c r="E184" s="6" t="s">
        <v>15</v>
      </c>
      <c r="F184" s="6" t="s">
        <v>37</v>
      </c>
      <c r="G184" s="6" t="s">
        <v>17</v>
      </c>
      <c r="H184" s="4">
        <f>2</f>
        <v>2</v>
      </c>
      <c r="I184" s="6" t="s">
        <v>36</v>
      </c>
      <c r="J184" s="18"/>
      <c r="K184" s="18"/>
      <c r="L184" s="6"/>
      <c r="M184" s="12" t="s">
        <v>129</v>
      </c>
      <c r="N184" s="12" t="s">
        <v>131</v>
      </c>
      <c r="O184" s="64"/>
      <c r="P184" s="30">
        <v>441467.68092039978</v>
      </c>
    </row>
    <row r="185" spans="2:16" x14ac:dyDescent="0.2">
      <c r="B185" s="29" t="s">
        <v>107</v>
      </c>
      <c r="C185" s="6">
        <v>3387</v>
      </c>
      <c r="D185" s="6" t="s">
        <v>108</v>
      </c>
      <c r="E185" s="6" t="s">
        <v>15</v>
      </c>
      <c r="F185" s="6" t="s">
        <v>71</v>
      </c>
      <c r="G185" s="6" t="s">
        <v>17</v>
      </c>
      <c r="H185" s="6">
        <v>16</v>
      </c>
      <c r="I185" s="6" t="s">
        <v>241</v>
      </c>
      <c r="J185" s="18"/>
      <c r="K185" s="18"/>
      <c r="L185" s="6"/>
      <c r="M185" s="7" t="s">
        <v>73</v>
      </c>
      <c r="N185" s="8"/>
      <c r="O185" s="58"/>
      <c r="P185" s="45">
        <v>6463897.0249945847</v>
      </c>
    </row>
    <row r="186" spans="2:16" x14ac:dyDescent="0.2">
      <c r="B186" s="29" t="s">
        <v>107</v>
      </c>
      <c r="C186" s="6">
        <v>3387</v>
      </c>
      <c r="D186" s="6" t="s">
        <v>108</v>
      </c>
      <c r="E186" s="6" t="s">
        <v>15</v>
      </c>
      <c r="F186" s="6" t="s">
        <v>72</v>
      </c>
      <c r="G186" s="6" t="s">
        <v>17</v>
      </c>
      <c r="H186" s="6">
        <v>72</v>
      </c>
      <c r="I186" s="6" t="s">
        <v>36</v>
      </c>
      <c r="J186" s="18"/>
      <c r="K186" s="18">
        <v>4058524</v>
      </c>
      <c r="L186" s="6"/>
      <c r="M186" s="7" t="s">
        <v>75</v>
      </c>
      <c r="N186" s="8"/>
      <c r="O186" s="58"/>
      <c r="P186" s="45">
        <v>3231948.5124972924</v>
      </c>
    </row>
    <row r="187" spans="2:16" x14ac:dyDescent="0.2">
      <c r="B187" s="29" t="s">
        <v>107</v>
      </c>
      <c r="C187" s="6">
        <v>3387</v>
      </c>
      <c r="D187" s="6" t="s">
        <v>108</v>
      </c>
      <c r="E187" s="6" t="s">
        <v>15</v>
      </c>
      <c r="F187" s="6" t="s">
        <v>72</v>
      </c>
      <c r="G187" s="6" t="s">
        <v>17</v>
      </c>
      <c r="H187" s="6">
        <v>9</v>
      </c>
      <c r="I187" s="6" t="s">
        <v>241</v>
      </c>
      <c r="J187" s="18"/>
      <c r="K187" s="18"/>
      <c r="L187" s="6"/>
      <c r="M187" s="7" t="s">
        <v>74</v>
      </c>
      <c r="N187" s="8"/>
      <c r="O187" s="58"/>
      <c r="P187" s="45">
        <v>8618529.3666594457</v>
      </c>
    </row>
    <row r="188" spans="2:16" x14ac:dyDescent="0.2">
      <c r="B188" s="29" t="s">
        <v>107</v>
      </c>
      <c r="C188" s="6">
        <v>3387</v>
      </c>
      <c r="D188" s="6" t="s">
        <v>108</v>
      </c>
      <c r="E188" s="6" t="s">
        <v>15</v>
      </c>
      <c r="F188" s="6" t="s">
        <v>72</v>
      </c>
      <c r="G188" s="6" t="s">
        <v>17</v>
      </c>
      <c r="H188" s="6">
        <v>1</v>
      </c>
      <c r="I188" s="6" t="s">
        <v>241</v>
      </c>
      <c r="J188" s="18"/>
      <c r="K188" s="18"/>
      <c r="L188" s="6"/>
      <c r="M188" s="7" t="s">
        <v>247</v>
      </c>
      <c r="N188" s="8" t="s">
        <v>270</v>
      </c>
      <c r="O188" s="58"/>
      <c r="P188" s="45">
        <v>7760041.2539209519</v>
      </c>
    </row>
    <row r="189" spans="2:16" x14ac:dyDescent="0.2">
      <c r="B189" s="29" t="s">
        <v>107</v>
      </c>
      <c r="C189" s="6">
        <v>3387</v>
      </c>
      <c r="D189" s="6" t="s">
        <v>108</v>
      </c>
      <c r="E189" s="6" t="s">
        <v>15</v>
      </c>
      <c r="F189" s="6" t="s">
        <v>71</v>
      </c>
      <c r="G189" s="6" t="s">
        <v>17</v>
      </c>
      <c r="H189" s="6">
        <v>8</v>
      </c>
      <c r="I189" s="6" t="s">
        <v>241</v>
      </c>
      <c r="J189" s="18"/>
      <c r="K189" s="18"/>
      <c r="L189" s="6"/>
      <c r="M189" s="7" t="s">
        <v>76</v>
      </c>
      <c r="N189" s="8"/>
      <c r="O189" s="58"/>
      <c r="P189" s="45">
        <v>218814.26979748334</v>
      </c>
    </row>
    <row r="190" spans="2:16" x14ac:dyDescent="0.2">
      <c r="B190" s="29" t="s">
        <v>107</v>
      </c>
      <c r="C190" s="6">
        <v>3387</v>
      </c>
      <c r="D190" s="6" t="s">
        <v>108</v>
      </c>
      <c r="E190" s="6" t="s">
        <v>15</v>
      </c>
      <c r="F190" s="6" t="s">
        <v>72</v>
      </c>
      <c r="G190" s="6" t="s">
        <v>17</v>
      </c>
      <c r="H190" s="6">
        <v>8</v>
      </c>
      <c r="I190" s="6" t="s">
        <v>241</v>
      </c>
      <c r="J190" s="18"/>
      <c r="K190" s="18"/>
      <c r="L190" s="6"/>
      <c r="M190" s="7" t="s">
        <v>77</v>
      </c>
      <c r="N190" s="8"/>
      <c r="O190" s="58"/>
      <c r="P190" s="45">
        <v>215463.23416648616</v>
      </c>
    </row>
    <row r="191" spans="2:16" x14ac:dyDescent="0.2">
      <c r="B191" s="29" t="s">
        <v>107</v>
      </c>
      <c r="C191" s="6">
        <v>3387</v>
      </c>
      <c r="D191" s="6" t="s">
        <v>108</v>
      </c>
      <c r="E191" s="6" t="s">
        <v>15</v>
      </c>
      <c r="F191" s="6" t="s">
        <v>72</v>
      </c>
      <c r="G191" s="6" t="s">
        <v>17</v>
      </c>
      <c r="H191" s="6">
        <v>39</v>
      </c>
      <c r="I191" s="6" t="s">
        <v>241</v>
      </c>
      <c r="J191" s="18"/>
      <c r="K191" s="18"/>
      <c r="L191" s="6"/>
      <c r="M191" s="7" t="s">
        <v>78</v>
      </c>
      <c r="N191" s="8"/>
      <c r="O191" s="58"/>
      <c r="P191" s="45">
        <v>646389.70249945845</v>
      </c>
    </row>
    <row r="192" spans="2:16" x14ac:dyDescent="0.2">
      <c r="B192" s="29" t="s">
        <v>107</v>
      </c>
      <c r="C192" s="6">
        <v>3387</v>
      </c>
      <c r="D192" s="6" t="s">
        <v>108</v>
      </c>
      <c r="E192" s="6" t="s">
        <v>15</v>
      </c>
      <c r="F192" s="6" t="s">
        <v>71</v>
      </c>
      <c r="G192" s="6" t="s">
        <v>17</v>
      </c>
      <c r="H192" s="6">
        <v>16</v>
      </c>
      <c r="I192" s="6" t="s">
        <v>241</v>
      </c>
      <c r="J192" s="18"/>
      <c r="K192" s="18"/>
      <c r="L192" s="6"/>
      <c r="M192" s="7" t="s">
        <v>79</v>
      </c>
      <c r="N192" s="8"/>
      <c r="O192" s="58"/>
      <c r="P192" s="45">
        <v>430926.46833297232</v>
      </c>
    </row>
    <row r="193" spans="2:16" x14ac:dyDescent="0.2">
      <c r="B193" s="29" t="s">
        <v>107</v>
      </c>
      <c r="C193" s="6">
        <v>3387</v>
      </c>
      <c r="D193" s="6" t="s">
        <v>108</v>
      </c>
      <c r="E193" s="6" t="s">
        <v>15</v>
      </c>
      <c r="F193" s="6" t="s">
        <v>71</v>
      </c>
      <c r="G193" s="6" t="s">
        <v>17</v>
      </c>
      <c r="H193" s="6">
        <v>4</v>
      </c>
      <c r="I193" s="6" t="s">
        <v>241</v>
      </c>
      <c r="J193" s="18"/>
      <c r="K193" s="18"/>
      <c r="L193" s="6"/>
      <c r="M193" s="7" t="s">
        <v>80</v>
      </c>
      <c r="N193" s="8"/>
      <c r="O193" s="58"/>
      <c r="P193" s="45">
        <v>221332.13262802974</v>
      </c>
    </row>
    <row r="194" spans="2:16" x14ac:dyDescent="0.2">
      <c r="B194" s="29" t="s">
        <v>107</v>
      </c>
      <c r="C194" s="6">
        <v>3387</v>
      </c>
      <c r="D194" s="6" t="s">
        <v>108</v>
      </c>
      <c r="E194" s="6" t="s">
        <v>15</v>
      </c>
      <c r="F194" s="6" t="s">
        <v>71</v>
      </c>
      <c r="G194" s="6" t="s">
        <v>17</v>
      </c>
      <c r="H194" s="6">
        <v>1</v>
      </c>
      <c r="I194" s="6" t="s">
        <v>241</v>
      </c>
      <c r="J194" s="18"/>
      <c r="K194" s="18"/>
      <c r="L194" s="6"/>
      <c r="M194" s="7" t="s">
        <v>81</v>
      </c>
      <c r="N194" s="8"/>
      <c r="O194" s="58"/>
      <c r="P194" s="45">
        <v>232122.97333037137</v>
      </c>
    </row>
    <row r="195" spans="2:16" x14ac:dyDescent="0.2">
      <c r="B195" s="29" t="s">
        <v>107</v>
      </c>
      <c r="C195" s="6">
        <v>3387</v>
      </c>
      <c r="D195" s="6" t="s">
        <v>108</v>
      </c>
      <c r="E195" s="6" t="s">
        <v>15</v>
      </c>
      <c r="F195" s="6" t="s">
        <v>71</v>
      </c>
      <c r="G195" s="6" t="s">
        <v>17</v>
      </c>
      <c r="H195" s="6">
        <v>1</v>
      </c>
      <c r="I195" s="6" t="s">
        <v>241</v>
      </c>
      <c r="J195" s="18"/>
      <c r="K195" s="18"/>
      <c r="L195" s="6"/>
      <c r="M195" s="7" t="s">
        <v>82</v>
      </c>
      <c r="N195" s="8"/>
      <c r="O195" s="58"/>
      <c r="P195" s="45">
        <v>215463.23416648616</v>
      </c>
    </row>
    <row r="196" spans="2:16" x14ac:dyDescent="0.2">
      <c r="B196" s="29" t="s">
        <v>107</v>
      </c>
      <c r="C196" s="6">
        <v>3387</v>
      </c>
      <c r="D196" s="6" t="s">
        <v>108</v>
      </c>
      <c r="E196" s="6" t="s">
        <v>15</v>
      </c>
      <c r="F196" s="6" t="s">
        <v>84</v>
      </c>
      <c r="G196" s="6" t="s">
        <v>17</v>
      </c>
      <c r="H196" s="6">
        <v>1</v>
      </c>
      <c r="I196" s="6" t="s">
        <v>36</v>
      </c>
      <c r="J196" s="18"/>
      <c r="K196" s="18"/>
      <c r="L196" s="6"/>
      <c r="M196" s="7" t="s">
        <v>83</v>
      </c>
      <c r="N196" s="8"/>
      <c r="O196" s="58"/>
      <c r="P196" s="45">
        <v>1077316.1708324307</v>
      </c>
    </row>
    <row r="197" spans="2:16" x14ac:dyDescent="0.2">
      <c r="B197" s="29" t="s">
        <v>107</v>
      </c>
      <c r="C197" s="6">
        <v>3387</v>
      </c>
      <c r="D197" s="6" t="s">
        <v>108</v>
      </c>
      <c r="E197" s="6" t="s">
        <v>15</v>
      </c>
      <c r="F197" s="6" t="s">
        <v>198</v>
      </c>
      <c r="G197" s="6" t="s">
        <v>17</v>
      </c>
      <c r="H197" s="6">
        <f>39.5+126.5+111.5+137.5+11+37.5+116+21.5+150.5+3+50.5+60.5+3</f>
        <v>868.5</v>
      </c>
      <c r="I197" s="6" t="s">
        <v>197</v>
      </c>
      <c r="J197" s="18">
        <v>5000</v>
      </c>
      <c r="K197" s="18">
        <f>H197*J197</f>
        <v>4342500</v>
      </c>
      <c r="L197" s="6"/>
      <c r="M197" s="7" t="s">
        <v>196</v>
      </c>
      <c r="N197" s="8"/>
      <c r="O197" s="58"/>
      <c r="P197" s="30">
        <v>15390231.525741426</v>
      </c>
    </row>
    <row r="198" spans="2:16" ht="14.25" x14ac:dyDescent="0.2">
      <c r="B198" s="29" t="s">
        <v>107</v>
      </c>
      <c r="C198" s="6">
        <v>3387</v>
      </c>
      <c r="D198" s="6" t="s">
        <v>108</v>
      </c>
      <c r="E198" s="6" t="s">
        <v>15</v>
      </c>
      <c r="F198" s="6" t="s">
        <v>225</v>
      </c>
      <c r="G198" s="6" t="s">
        <v>17</v>
      </c>
      <c r="H198" s="6">
        <v>39</v>
      </c>
      <c r="I198" s="6" t="s">
        <v>28</v>
      </c>
      <c r="J198" s="18">
        <v>15000</v>
      </c>
      <c r="K198" s="18">
        <f>H198*J198</f>
        <v>585000</v>
      </c>
      <c r="L198" s="6"/>
      <c r="M198" s="7" t="s">
        <v>232</v>
      </c>
      <c r="N198" s="8"/>
      <c r="O198" s="58"/>
      <c r="P198" s="30">
        <v>1092246.4979264208</v>
      </c>
    </row>
    <row r="199" spans="2:16" ht="14.25" x14ac:dyDescent="0.2">
      <c r="B199" s="29" t="s">
        <v>107</v>
      </c>
      <c r="C199" s="6">
        <v>3387</v>
      </c>
      <c r="D199" s="6" t="s">
        <v>108</v>
      </c>
      <c r="E199" s="6" t="s">
        <v>19</v>
      </c>
      <c r="F199" s="6" t="s">
        <v>20</v>
      </c>
      <c r="G199" s="6" t="s">
        <v>17</v>
      </c>
      <c r="H199" s="6" t="s">
        <v>109</v>
      </c>
      <c r="I199" s="6" t="s">
        <v>29</v>
      </c>
      <c r="J199" s="18">
        <f>K199/400</f>
        <v>87695.024999999994</v>
      </c>
      <c r="K199" s="18">
        <v>35078010</v>
      </c>
      <c r="L199" s="6"/>
      <c r="M199" s="7" t="s">
        <v>26</v>
      </c>
      <c r="N199" s="8" t="s">
        <v>195</v>
      </c>
      <c r="O199" s="58"/>
      <c r="P199" s="30">
        <v>33929419.807629585</v>
      </c>
    </row>
    <row r="200" spans="2:16" ht="14.25" x14ac:dyDescent="0.2">
      <c r="B200" s="29" t="s">
        <v>107</v>
      </c>
      <c r="C200" s="6">
        <v>3387</v>
      </c>
      <c r="D200" s="6" t="s">
        <v>108</v>
      </c>
      <c r="E200" s="6" t="s">
        <v>19</v>
      </c>
      <c r="F200" s="6" t="s">
        <v>20</v>
      </c>
      <c r="G200" s="6" t="s">
        <v>17</v>
      </c>
      <c r="H200" s="6">
        <v>120</v>
      </c>
      <c r="I200" s="6" t="s">
        <v>29</v>
      </c>
      <c r="J200" s="18">
        <f>K200/H200</f>
        <v>79695.233333333337</v>
      </c>
      <c r="K200" s="18">
        <v>9563428</v>
      </c>
      <c r="L200" s="6"/>
      <c r="M200" s="7" t="s">
        <v>110</v>
      </c>
      <c r="N200" s="8" t="s">
        <v>195</v>
      </c>
      <c r="O200" s="58"/>
      <c r="P200" s="30">
        <v>12383095.191998668</v>
      </c>
    </row>
    <row r="201" spans="2:16" ht="15" thickBot="1" x14ac:dyDescent="0.25">
      <c r="B201" s="31" t="s">
        <v>107</v>
      </c>
      <c r="C201" s="32">
        <v>3387</v>
      </c>
      <c r="D201" s="32" t="s">
        <v>108</v>
      </c>
      <c r="E201" s="32" t="s">
        <v>19</v>
      </c>
      <c r="F201" s="32" t="s">
        <v>20</v>
      </c>
      <c r="G201" s="32" t="s">
        <v>17</v>
      </c>
      <c r="H201" s="32" t="s">
        <v>112</v>
      </c>
      <c r="I201" s="32" t="s">
        <v>29</v>
      </c>
      <c r="J201" s="33">
        <f>K201/144</f>
        <v>128518.35416666667</v>
      </c>
      <c r="K201" s="33">
        <v>18506643</v>
      </c>
      <c r="L201" s="32"/>
      <c r="M201" s="34" t="s">
        <v>111</v>
      </c>
      <c r="N201" s="35" t="s">
        <v>195</v>
      </c>
      <c r="O201" s="60"/>
      <c r="P201" s="50">
        <v>10837229.32753871</v>
      </c>
    </row>
    <row r="202" spans="2:16" ht="13.5" thickBot="1" x14ac:dyDescent="0.25">
      <c r="B202" s="76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54" t="s">
        <v>246</v>
      </c>
      <c r="P202" s="87">
        <v>375361157.6403054</v>
      </c>
    </row>
    <row r="203" spans="2:16" ht="14.25" x14ac:dyDescent="0.2">
      <c r="B203" s="24" t="s">
        <v>142</v>
      </c>
      <c r="C203" s="43" t="s">
        <v>143</v>
      </c>
      <c r="D203" s="25" t="s">
        <v>144</v>
      </c>
      <c r="E203" s="25" t="s">
        <v>15</v>
      </c>
      <c r="F203" s="25" t="s">
        <v>16</v>
      </c>
      <c r="G203" s="25" t="s">
        <v>17</v>
      </c>
      <c r="H203" s="25">
        <v>356.4</v>
      </c>
      <c r="I203" s="25" t="s">
        <v>28</v>
      </c>
      <c r="J203" s="26">
        <v>180000</v>
      </c>
      <c r="K203" s="26">
        <f>H203*J203</f>
        <v>64151999.999999993</v>
      </c>
      <c r="L203" s="25"/>
      <c r="M203" s="27" t="s">
        <v>87</v>
      </c>
      <c r="N203" s="28"/>
      <c r="O203" s="57"/>
      <c r="P203" s="51">
        <v>115242903.26916908</v>
      </c>
    </row>
    <row r="204" spans="2:16" ht="14.25" x14ac:dyDescent="0.2">
      <c r="B204" s="29" t="s">
        <v>142</v>
      </c>
      <c r="C204" s="14" t="s">
        <v>143</v>
      </c>
      <c r="D204" s="6" t="s">
        <v>144</v>
      </c>
      <c r="E204" s="6" t="s">
        <v>15</v>
      </c>
      <c r="F204" s="6" t="s">
        <v>16</v>
      </c>
      <c r="G204" s="6" t="s">
        <v>18</v>
      </c>
      <c r="H204" s="16">
        <f>(7.72*12.9)</f>
        <v>99.587999999999994</v>
      </c>
      <c r="I204" s="6" t="s">
        <v>28</v>
      </c>
      <c r="J204" s="18">
        <v>120000</v>
      </c>
      <c r="K204" s="18">
        <f>H204*J204</f>
        <v>11950560</v>
      </c>
      <c r="L204" s="6"/>
      <c r="M204" s="7" t="s">
        <v>145</v>
      </c>
      <c r="N204" s="8"/>
      <c r="O204" s="58"/>
      <c r="P204" s="30">
        <v>20336982.604892898</v>
      </c>
    </row>
    <row r="205" spans="2:16" ht="14.25" x14ac:dyDescent="0.2">
      <c r="B205" s="29" t="s">
        <v>142</v>
      </c>
      <c r="C205" s="14" t="s">
        <v>143</v>
      </c>
      <c r="D205" s="6" t="s">
        <v>144</v>
      </c>
      <c r="E205" s="6" t="s">
        <v>19</v>
      </c>
      <c r="F205" s="6" t="s">
        <v>20</v>
      </c>
      <c r="G205" s="6" t="s">
        <v>17</v>
      </c>
      <c r="H205" s="6" t="s">
        <v>148</v>
      </c>
      <c r="I205" s="6" t="s">
        <v>29</v>
      </c>
      <c r="J205" s="18">
        <f>K205/150</f>
        <v>215285.20666666667</v>
      </c>
      <c r="K205" s="18">
        <f>32292781</f>
        <v>32292781</v>
      </c>
      <c r="L205" s="6"/>
      <c r="M205" s="7" t="s">
        <v>229</v>
      </c>
      <c r="N205" s="8" t="s">
        <v>195</v>
      </c>
      <c r="O205" s="58"/>
      <c r="P205" s="30">
        <v>18467556.645153396</v>
      </c>
    </row>
    <row r="206" spans="2:16" ht="14.25" x14ac:dyDescent="0.2">
      <c r="B206" s="29" t="s">
        <v>142</v>
      </c>
      <c r="C206" s="14" t="s">
        <v>143</v>
      </c>
      <c r="D206" s="6" t="s">
        <v>144</v>
      </c>
      <c r="E206" s="6" t="s">
        <v>19</v>
      </c>
      <c r="F206" s="6" t="s">
        <v>20</v>
      </c>
      <c r="G206" s="6" t="s">
        <v>17</v>
      </c>
      <c r="H206" s="6">
        <v>47</v>
      </c>
      <c r="I206" s="6" t="s">
        <v>29</v>
      </c>
      <c r="J206" s="18">
        <f>K206/H206</f>
        <v>240355.70212765958</v>
      </c>
      <c r="K206" s="18">
        <f>11296718</f>
        <v>11296718</v>
      </c>
      <c r="L206" s="6"/>
      <c r="M206" s="7" t="s">
        <v>146</v>
      </c>
      <c r="N206" s="8" t="s">
        <v>195</v>
      </c>
      <c r="O206" s="58"/>
      <c r="P206" s="30">
        <v>11856291.721407615</v>
      </c>
    </row>
    <row r="207" spans="2:16" ht="14.25" x14ac:dyDescent="0.2">
      <c r="B207" s="29" t="s">
        <v>142</v>
      </c>
      <c r="C207" s="14" t="s">
        <v>143</v>
      </c>
      <c r="D207" s="6" t="s">
        <v>144</v>
      </c>
      <c r="E207" s="6" t="s">
        <v>19</v>
      </c>
      <c r="F207" s="6" t="s">
        <v>20</v>
      </c>
      <c r="G207" s="6" t="s">
        <v>17</v>
      </c>
      <c r="H207" s="6" t="s">
        <v>149</v>
      </c>
      <c r="I207" s="6" t="s">
        <v>29</v>
      </c>
      <c r="J207" s="18">
        <f>K207/286</f>
        <v>88397.181818181823</v>
      </c>
      <c r="K207" s="18">
        <v>25281594</v>
      </c>
      <c r="L207" s="6"/>
      <c r="M207" s="7" t="s">
        <v>147</v>
      </c>
      <c r="N207" s="8" t="s">
        <v>195</v>
      </c>
      <c r="O207" s="58"/>
      <c r="P207" s="30">
        <v>42075439.709466815</v>
      </c>
    </row>
    <row r="208" spans="2:16" ht="14.25" x14ac:dyDescent="0.2">
      <c r="B208" s="29" t="s">
        <v>142</v>
      </c>
      <c r="C208" s="14" t="s">
        <v>143</v>
      </c>
      <c r="D208" s="6" t="s">
        <v>144</v>
      </c>
      <c r="E208" s="6" t="s">
        <v>19</v>
      </c>
      <c r="F208" s="6" t="s">
        <v>20</v>
      </c>
      <c r="G208" s="6" t="s">
        <v>18</v>
      </c>
      <c r="H208" s="6" t="s">
        <v>150</v>
      </c>
      <c r="I208" s="6" t="s">
        <v>29</v>
      </c>
      <c r="J208" s="18">
        <f>K208/200</f>
        <v>90000</v>
      </c>
      <c r="K208" s="18">
        <v>18000000</v>
      </c>
      <c r="L208" s="6"/>
      <c r="M208" s="7" t="s">
        <v>27</v>
      </c>
      <c r="N208" s="8" t="s">
        <v>195</v>
      </c>
      <c r="O208" s="58"/>
      <c r="P208" s="30">
        <v>14033848.361682288</v>
      </c>
    </row>
    <row r="209" spans="2:16" x14ac:dyDescent="0.2">
      <c r="B209" s="29" t="s">
        <v>142</v>
      </c>
      <c r="C209" s="14" t="s">
        <v>213</v>
      </c>
      <c r="D209" s="6" t="s">
        <v>212</v>
      </c>
      <c r="E209" s="6" t="s">
        <v>30</v>
      </c>
      <c r="F209" s="6" t="s">
        <v>20</v>
      </c>
      <c r="G209" s="6" t="s">
        <v>17</v>
      </c>
      <c r="H209" s="6">
        <v>465</v>
      </c>
      <c r="I209" s="6" t="s">
        <v>31</v>
      </c>
      <c r="J209" s="18">
        <f>K209/H209</f>
        <v>56129.032258064515</v>
      </c>
      <c r="K209" s="18">
        <v>26100000</v>
      </c>
      <c r="L209" s="6"/>
      <c r="M209" s="7" t="s">
        <v>151</v>
      </c>
      <c r="N209" s="8"/>
      <c r="O209" s="58"/>
      <c r="P209" s="30">
        <v>42600913.692737423</v>
      </c>
    </row>
    <row r="210" spans="2:16" x14ac:dyDescent="0.2">
      <c r="B210" s="29" t="s">
        <v>142</v>
      </c>
      <c r="C210" s="14" t="s">
        <v>143</v>
      </c>
      <c r="D210" s="6" t="s">
        <v>144</v>
      </c>
      <c r="E210" s="6" t="s">
        <v>30</v>
      </c>
      <c r="F210" s="6" t="s">
        <v>20</v>
      </c>
      <c r="G210" s="6" t="s">
        <v>17</v>
      </c>
      <c r="H210" s="6">
        <v>430</v>
      </c>
      <c r="I210" s="6" t="s">
        <v>31</v>
      </c>
      <c r="J210" s="18">
        <f>K210/H210</f>
        <v>65837.209302325587</v>
      </c>
      <c r="K210" s="18">
        <v>28310000</v>
      </c>
      <c r="L210" s="6"/>
      <c r="M210" s="8" t="s">
        <v>152</v>
      </c>
      <c r="N210" s="8"/>
      <c r="O210" s="58"/>
      <c r="P210" s="30">
        <v>39394393.30726257</v>
      </c>
    </row>
    <row r="211" spans="2:16" x14ac:dyDescent="0.2">
      <c r="B211" s="29" t="s">
        <v>142</v>
      </c>
      <c r="C211" s="14" t="s">
        <v>213</v>
      </c>
      <c r="D211" s="6" t="s">
        <v>212</v>
      </c>
      <c r="E211" s="6" t="s">
        <v>30</v>
      </c>
      <c r="F211" s="6" t="s">
        <v>34</v>
      </c>
      <c r="G211" s="6" t="s">
        <v>17</v>
      </c>
      <c r="H211" s="6">
        <v>1</v>
      </c>
      <c r="I211" s="6" t="s">
        <v>36</v>
      </c>
      <c r="J211" s="18">
        <v>242684</v>
      </c>
      <c r="K211" s="18">
        <f t="shared" ref="K211:K215" si="14">H211*J211</f>
        <v>242684</v>
      </c>
      <c r="L211" s="6"/>
      <c r="M211" s="7" t="s">
        <v>210</v>
      </c>
      <c r="N211" s="13" t="s">
        <v>153</v>
      </c>
      <c r="O211" s="65"/>
      <c r="P211" s="30">
        <v>268133.20237153396</v>
      </c>
    </row>
    <row r="212" spans="2:16" x14ac:dyDescent="0.2">
      <c r="B212" s="29" t="s">
        <v>142</v>
      </c>
      <c r="C212" s="14" t="s">
        <v>143</v>
      </c>
      <c r="D212" s="6" t="s">
        <v>144</v>
      </c>
      <c r="E212" s="6" t="s">
        <v>30</v>
      </c>
      <c r="F212" s="6" t="s">
        <v>34</v>
      </c>
      <c r="G212" s="6" t="s">
        <v>17</v>
      </c>
      <c r="H212" s="6">
        <v>1</v>
      </c>
      <c r="I212" s="6" t="s">
        <v>36</v>
      </c>
      <c r="J212" s="18">
        <v>478346</v>
      </c>
      <c r="K212" s="18">
        <f t="shared" si="14"/>
        <v>478346</v>
      </c>
      <c r="L212" s="6"/>
      <c r="M212" s="7" t="s">
        <v>207</v>
      </c>
      <c r="N212" s="13" t="s">
        <v>35</v>
      </c>
      <c r="O212" s="65"/>
      <c r="P212" s="30">
        <v>528508.03852587636</v>
      </c>
    </row>
    <row r="213" spans="2:16" x14ac:dyDescent="0.2">
      <c r="B213" s="29" t="s">
        <v>142</v>
      </c>
      <c r="C213" s="14" t="s">
        <v>143</v>
      </c>
      <c r="D213" s="6" t="s">
        <v>144</v>
      </c>
      <c r="E213" s="6" t="s">
        <v>30</v>
      </c>
      <c r="F213" s="6" t="s">
        <v>34</v>
      </c>
      <c r="G213" s="6" t="s">
        <v>17</v>
      </c>
      <c r="H213" s="6">
        <v>2</v>
      </c>
      <c r="I213" s="6" t="s">
        <v>36</v>
      </c>
      <c r="J213" s="18">
        <v>478346</v>
      </c>
      <c r="K213" s="18">
        <f t="shared" si="14"/>
        <v>956692</v>
      </c>
      <c r="L213" s="6"/>
      <c r="M213" s="7" t="s">
        <v>208</v>
      </c>
      <c r="N213" s="13" t="s">
        <v>35</v>
      </c>
      <c r="O213" s="65"/>
      <c r="P213" s="30">
        <v>1057016.0770517527</v>
      </c>
    </row>
    <row r="214" spans="2:16" x14ac:dyDescent="0.2">
      <c r="B214" s="29" t="s">
        <v>142</v>
      </c>
      <c r="C214" s="14" t="s">
        <v>213</v>
      </c>
      <c r="D214" s="6" t="s">
        <v>212</v>
      </c>
      <c r="E214" s="6" t="s">
        <v>30</v>
      </c>
      <c r="F214" s="6" t="s">
        <v>34</v>
      </c>
      <c r="G214" s="6" t="s">
        <v>17</v>
      </c>
      <c r="H214" s="6">
        <v>3</v>
      </c>
      <c r="I214" s="6" t="s">
        <v>36</v>
      </c>
      <c r="J214" s="18">
        <v>556356</v>
      </c>
      <c r="K214" s="18">
        <f t="shared" si="14"/>
        <v>1669068</v>
      </c>
      <c r="L214" s="6"/>
      <c r="M214" s="7" t="s">
        <v>209</v>
      </c>
      <c r="N214" s="13" t="s">
        <v>154</v>
      </c>
      <c r="O214" s="65"/>
      <c r="P214" s="30">
        <v>1844095.8110788162</v>
      </c>
    </row>
    <row r="215" spans="2:16" x14ac:dyDescent="0.2">
      <c r="B215" s="29" t="s">
        <v>142</v>
      </c>
      <c r="C215" s="14" t="s">
        <v>213</v>
      </c>
      <c r="D215" s="6" t="s">
        <v>212</v>
      </c>
      <c r="E215" s="6" t="s">
        <v>30</v>
      </c>
      <c r="F215" s="6" t="s">
        <v>34</v>
      </c>
      <c r="G215" s="6" t="s">
        <v>17</v>
      </c>
      <c r="H215" s="6">
        <v>1</v>
      </c>
      <c r="I215" s="6" t="s">
        <v>36</v>
      </c>
      <c r="J215" s="18">
        <v>242684</v>
      </c>
      <c r="K215" s="18">
        <f t="shared" si="14"/>
        <v>242684</v>
      </c>
      <c r="L215" s="6"/>
      <c r="M215" s="7" t="s">
        <v>211</v>
      </c>
      <c r="N215" s="13" t="s">
        <v>153</v>
      </c>
      <c r="O215" s="65"/>
      <c r="P215" s="30">
        <v>268133.20237153396</v>
      </c>
    </row>
    <row r="216" spans="2:16" x14ac:dyDescent="0.2">
      <c r="B216" s="29" t="s">
        <v>142</v>
      </c>
      <c r="C216" s="14" t="s">
        <v>213</v>
      </c>
      <c r="D216" s="6" t="s">
        <v>212</v>
      </c>
      <c r="E216" s="6" t="s">
        <v>15</v>
      </c>
      <c r="F216" s="6" t="s">
        <v>37</v>
      </c>
      <c r="G216" s="6" t="s">
        <v>17</v>
      </c>
      <c r="H216" s="6">
        <v>2</v>
      </c>
      <c r="I216" s="6" t="s">
        <v>36</v>
      </c>
      <c r="J216" s="18">
        <v>462200</v>
      </c>
      <c r="K216" s="18">
        <f t="shared" ref="K216:K217" si="15">J216*H216</f>
        <v>924400</v>
      </c>
      <c r="L216" s="6"/>
      <c r="M216" s="7" t="s">
        <v>219</v>
      </c>
      <c r="N216" s="23" t="s">
        <v>221</v>
      </c>
      <c r="O216" s="66"/>
      <c r="P216" s="30">
        <v>1021337.7572161576</v>
      </c>
    </row>
    <row r="217" spans="2:16" x14ac:dyDescent="0.2">
      <c r="B217" s="29" t="s">
        <v>142</v>
      </c>
      <c r="C217" s="14" t="s">
        <v>143</v>
      </c>
      <c r="D217" s="6" t="s">
        <v>144</v>
      </c>
      <c r="E217" s="6" t="s">
        <v>15</v>
      </c>
      <c r="F217" s="6" t="s">
        <v>37</v>
      </c>
      <c r="G217" s="6" t="s">
        <v>17</v>
      </c>
      <c r="H217" s="6">
        <v>2</v>
      </c>
      <c r="I217" s="6" t="s">
        <v>36</v>
      </c>
      <c r="J217" s="18">
        <v>462200</v>
      </c>
      <c r="K217" s="18">
        <f t="shared" si="15"/>
        <v>924400</v>
      </c>
      <c r="L217" s="6"/>
      <c r="M217" s="7" t="s">
        <v>219</v>
      </c>
      <c r="N217" s="23" t="s">
        <v>221</v>
      </c>
      <c r="O217" s="66"/>
      <c r="P217" s="30">
        <v>1021337.7572161576</v>
      </c>
    </row>
    <row r="218" spans="2:16" x14ac:dyDescent="0.2">
      <c r="B218" s="29" t="s">
        <v>142</v>
      </c>
      <c r="C218" s="14" t="s">
        <v>143</v>
      </c>
      <c r="D218" s="6" t="s">
        <v>144</v>
      </c>
      <c r="E218" s="6" t="s">
        <v>39</v>
      </c>
      <c r="F218" s="6" t="s">
        <v>37</v>
      </c>
      <c r="G218" s="6" t="s">
        <v>17</v>
      </c>
      <c r="H218" s="6">
        <v>2</v>
      </c>
      <c r="I218" s="6" t="s">
        <v>36</v>
      </c>
      <c r="J218" s="18">
        <f>18260000/2</f>
        <v>9130000</v>
      </c>
      <c r="K218" s="18">
        <f>H218*J218</f>
        <v>18260000</v>
      </c>
      <c r="L218" s="6"/>
      <c r="M218" s="7" t="s">
        <v>38</v>
      </c>
      <c r="N218" s="22"/>
      <c r="O218" s="63"/>
      <c r="P218" s="30">
        <v>30488908.657454077</v>
      </c>
    </row>
    <row r="219" spans="2:16" x14ac:dyDescent="0.2">
      <c r="B219" s="29" t="s">
        <v>142</v>
      </c>
      <c r="C219" s="14" t="s">
        <v>143</v>
      </c>
      <c r="D219" s="6" t="s">
        <v>144</v>
      </c>
      <c r="E219" s="6" t="s">
        <v>39</v>
      </c>
      <c r="F219" s="6" t="s">
        <v>34</v>
      </c>
      <c r="G219" s="6" t="s">
        <v>17</v>
      </c>
      <c r="H219" s="6">
        <v>2</v>
      </c>
      <c r="I219" s="6" t="s">
        <v>36</v>
      </c>
      <c r="J219" s="18">
        <f>2170*315</f>
        <v>683550</v>
      </c>
      <c r="K219" s="18">
        <f>J219*H219</f>
        <v>1367100</v>
      </c>
      <c r="L219" s="6"/>
      <c r="M219" s="7" t="s">
        <v>40</v>
      </c>
      <c r="N219" s="22" t="s">
        <v>279</v>
      </c>
      <c r="O219" s="63" t="s">
        <v>280</v>
      </c>
      <c r="P219" s="30">
        <v>1510461.7566964615</v>
      </c>
    </row>
    <row r="220" spans="2:16" x14ac:dyDescent="0.2">
      <c r="B220" s="29" t="s">
        <v>142</v>
      </c>
      <c r="C220" s="14" t="s">
        <v>143</v>
      </c>
      <c r="D220" s="6" t="s">
        <v>144</v>
      </c>
      <c r="E220" s="6" t="s">
        <v>39</v>
      </c>
      <c r="F220" s="6" t="s">
        <v>34</v>
      </c>
      <c r="G220" s="6" t="s">
        <v>17</v>
      </c>
      <c r="H220" s="6">
        <v>4</v>
      </c>
      <c r="I220" s="6" t="s">
        <v>36</v>
      </c>
      <c r="J220" s="18">
        <v>498354</v>
      </c>
      <c r="K220" s="18">
        <f>H220*J220</f>
        <v>1993416</v>
      </c>
      <c r="L220" s="6"/>
      <c r="M220" s="7" t="s">
        <v>85</v>
      </c>
      <c r="N220" s="22" t="s">
        <v>160</v>
      </c>
      <c r="O220" s="63" t="s">
        <v>281</v>
      </c>
      <c r="P220" s="30">
        <v>2203252.2607356119</v>
      </c>
    </row>
    <row r="221" spans="2:16" x14ac:dyDescent="0.2">
      <c r="B221" s="29" t="s">
        <v>142</v>
      </c>
      <c r="C221" s="14" t="s">
        <v>143</v>
      </c>
      <c r="D221" s="6" t="s">
        <v>144</v>
      </c>
      <c r="E221" s="6" t="s">
        <v>39</v>
      </c>
      <c r="F221" s="6" t="s">
        <v>34</v>
      </c>
      <c r="G221" s="6" t="s">
        <v>17</v>
      </c>
      <c r="H221" s="6">
        <v>3</v>
      </c>
      <c r="I221" s="6" t="s">
        <v>36</v>
      </c>
      <c r="J221" s="18"/>
      <c r="K221" s="18"/>
      <c r="L221" s="6"/>
      <c r="M221" s="7" t="s">
        <v>261</v>
      </c>
      <c r="N221" s="22" t="s">
        <v>42</v>
      </c>
      <c r="O221" s="63"/>
      <c r="P221" s="30">
        <v>7007327.1989156557</v>
      </c>
    </row>
    <row r="222" spans="2:16" x14ac:dyDescent="0.2">
      <c r="B222" s="29" t="s">
        <v>142</v>
      </c>
      <c r="C222" s="14" t="s">
        <v>143</v>
      </c>
      <c r="D222" s="6" t="s">
        <v>144</v>
      </c>
      <c r="E222" s="6" t="s">
        <v>39</v>
      </c>
      <c r="F222" s="6" t="s">
        <v>37</v>
      </c>
      <c r="G222" s="6" t="s">
        <v>17</v>
      </c>
      <c r="H222" s="6">
        <v>3</v>
      </c>
      <c r="I222" s="6" t="s">
        <v>36</v>
      </c>
      <c r="J222" s="18">
        <f>270*315</f>
        <v>85050</v>
      </c>
      <c r="K222" s="18">
        <f>H222*J222</f>
        <v>255150</v>
      </c>
      <c r="L222" s="6"/>
      <c r="M222" s="7" t="s">
        <v>155</v>
      </c>
      <c r="N222" s="22"/>
      <c r="O222" s="63"/>
      <c r="P222" s="30">
        <v>327498.73572612216</v>
      </c>
    </row>
    <row r="223" spans="2:16" ht="15.75" x14ac:dyDescent="0.3">
      <c r="B223" s="29" t="s">
        <v>142</v>
      </c>
      <c r="C223" s="14" t="s">
        <v>143</v>
      </c>
      <c r="D223" s="6" t="s">
        <v>144</v>
      </c>
      <c r="E223" s="6" t="s">
        <v>39</v>
      </c>
      <c r="F223" s="6" t="s">
        <v>37</v>
      </c>
      <c r="G223" s="6" t="s">
        <v>17</v>
      </c>
      <c r="H223" s="6">
        <v>2</v>
      </c>
      <c r="I223" s="6" t="s">
        <v>36</v>
      </c>
      <c r="J223" s="18">
        <v>211500</v>
      </c>
      <c r="K223" s="18">
        <f>H223*J223</f>
        <v>423000</v>
      </c>
      <c r="L223" s="6"/>
      <c r="M223" s="7" t="s">
        <v>45</v>
      </c>
      <c r="N223" s="22" t="s">
        <v>192</v>
      </c>
      <c r="O223" s="63"/>
      <c r="P223" s="30">
        <v>491665.19035178504</v>
      </c>
    </row>
    <row r="224" spans="2:16" x14ac:dyDescent="0.2">
      <c r="B224" s="29" t="s">
        <v>142</v>
      </c>
      <c r="C224" s="14" t="s">
        <v>143</v>
      </c>
      <c r="D224" s="6" t="s">
        <v>144</v>
      </c>
      <c r="E224" s="6" t="s">
        <v>39</v>
      </c>
      <c r="F224" s="6" t="s">
        <v>37</v>
      </c>
      <c r="G224" s="6" t="s">
        <v>17</v>
      </c>
      <c r="H224" s="6">
        <v>3500</v>
      </c>
      <c r="I224" s="6" t="s">
        <v>46</v>
      </c>
      <c r="J224" s="18">
        <v>8170000</v>
      </c>
      <c r="K224" s="18">
        <f>J224*8</f>
        <v>65360000</v>
      </c>
      <c r="L224" s="6"/>
      <c r="M224" s="7" t="s">
        <v>47</v>
      </c>
      <c r="N224" s="22" t="s">
        <v>156</v>
      </c>
      <c r="O224" s="63"/>
      <c r="P224" s="30">
        <v>72214015.373916119</v>
      </c>
    </row>
    <row r="225" spans="2:16" x14ac:dyDescent="0.2">
      <c r="B225" s="29" t="s">
        <v>142</v>
      </c>
      <c r="C225" s="14" t="s">
        <v>143</v>
      </c>
      <c r="D225" s="6" t="s">
        <v>144</v>
      </c>
      <c r="E225" s="6" t="s">
        <v>39</v>
      </c>
      <c r="F225" s="6" t="s">
        <v>37</v>
      </c>
      <c r="G225" s="6" t="s">
        <v>17</v>
      </c>
      <c r="H225" s="6">
        <v>2800</v>
      </c>
      <c r="I225" s="6" t="s">
        <v>46</v>
      </c>
      <c r="J225" s="18">
        <v>5710000</v>
      </c>
      <c r="K225" s="18">
        <f>J225*4</f>
        <v>22840000</v>
      </c>
      <c r="L225" s="6"/>
      <c r="M225" s="7" t="s">
        <v>47</v>
      </c>
      <c r="N225" s="22" t="s">
        <v>157</v>
      </c>
      <c r="O225" s="63"/>
      <c r="P225" s="30">
        <v>25235130.219403978</v>
      </c>
    </row>
    <row r="226" spans="2:16" x14ac:dyDescent="0.2">
      <c r="B226" s="29" t="s">
        <v>142</v>
      </c>
      <c r="C226" s="14" t="s">
        <v>143</v>
      </c>
      <c r="D226" s="6" t="s">
        <v>144</v>
      </c>
      <c r="E226" s="6" t="s">
        <v>39</v>
      </c>
      <c r="F226" s="6" t="s">
        <v>37</v>
      </c>
      <c r="G226" s="6" t="s">
        <v>17</v>
      </c>
      <c r="H226" s="6">
        <v>2</v>
      </c>
      <c r="I226" s="6" t="s">
        <v>36</v>
      </c>
      <c r="J226" s="18">
        <f>315*6807</f>
        <v>2144205</v>
      </c>
      <c r="K226" s="18">
        <f t="shared" ref="K226:K227" si="16">H226*J226</f>
        <v>4288410</v>
      </c>
      <c r="L226" s="6"/>
      <c r="M226" s="7" t="s">
        <v>50</v>
      </c>
      <c r="N226" s="22" t="s">
        <v>250</v>
      </c>
      <c r="O226" s="63" t="s">
        <v>282</v>
      </c>
      <c r="P226" s="30">
        <v>4738116.6718123564</v>
      </c>
    </row>
    <row r="227" spans="2:16" x14ac:dyDescent="0.2">
      <c r="B227" s="29" t="s">
        <v>142</v>
      </c>
      <c r="C227" s="14" t="s">
        <v>143</v>
      </c>
      <c r="D227" s="6" t="s">
        <v>144</v>
      </c>
      <c r="E227" s="6" t="s">
        <v>39</v>
      </c>
      <c r="F227" s="6" t="s">
        <v>37</v>
      </c>
      <c r="G227" s="6" t="s">
        <v>17</v>
      </c>
      <c r="H227" s="6">
        <v>2</v>
      </c>
      <c r="I227" s="6" t="s">
        <v>36</v>
      </c>
      <c r="J227" s="18">
        <f>3591*315</f>
        <v>1131165</v>
      </c>
      <c r="K227" s="18">
        <f t="shared" si="16"/>
        <v>2262330</v>
      </c>
      <c r="L227" s="6"/>
      <c r="M227" s="7" t="s">
        <v>51</v>
      </c>
      <c r="N227" s="22" t="s">
        <v>284</v>
      </c>
      <c r="O227" s="63" t="s">
        <v>285</v>
      </c>
      <c r="P227" s="30">
        <v>2499570.5844686604</v>
      </c>
    </row>
    <row r="228" spans="2:16" x14ac:dyDescent="0.2">
      <c r="B228" s="29" t="s">
        <v>142</v>
      </c>
      <c r="C228" s="14" t="s">
        <v>143</v>
      </c>
      <c r="D228" s="6" t="s">
        <v>144</v>
      </c>
      <c r="E228" s="6" t="s">
        <v>39</v>
      </c>
      <c r="F228" s="6" t="s">
        <v>37</v>
      </c>
      <c r="G228" s="6" t="s">
        <v>17</v>
      </c>
      <c r="H228" s="6">
        <v>2</v>
      </c>
      <c r="I228" s="6" t="s">
        <v>36</v>
      </c>
      <c r="J228" s="18">
        <f>754*315</f>
        <v>237510</v>
      </c>
      <c r="K228" s="18">
        <f>H228*J228</f>
        <v>475020</v>
      </c>
      <c r="L228" s="6"/>
      <c r="M228" s="7" t="s">
        <v>52</v>
      </c>
      <c r="N228" s="22" t="s">
        <v>259</v>
      </c>
      <c r="O228" s="63" t="s">
        <v>283</v>
      </c>
      <c r="P228" s="30">
        <v>524833.25555259536</v>
      </c>
    </row>
    <row r="229" spans="2:16" x14ac:dyDescent="0.2">
      <c r="B229" s="29" t="s">
        <v>142</v>
      </c>
      <c r="C229" s="14" t="s">
        <v>143</v>
      </c>
      <c r="D229" s="6" t="s">
        <v>144</v>
      </c>
      <c r="E229" s="6" t="s">
        <v>39</v>
      </c>
      <c r="F229" s="6" t="s">
        <v>37</v>
      </c>
      <c r="G229" s="6" t="s">
        <v>17</v>
      </c>
      <c r="H229" s="6">
        <v>1</v>
      </c>
      <c r="I229" s="6" t="s">
        <v>36</v>
      </c>
      <c r="J229" s="18">
        <f>5800*315</f>
        <v>1827000</v>
      </c>
      <c r="K229" s="18">
        <f>H229*J229</f>
        <v>1827000</v>
      </c>
      <c r="L229" s="6"/>
      <c r="M229" s="7" t="s">
        <v>54</v>
      </c>
      <c r="N229" s="22" t="s">
        <v>158</v>
      </c>
      <c r="O229" s="63" t="s">
        <v>286</v>
      </c>
      <c r="P229" s="30">
        <v>2192605.7758497023</v>
      </c>
    </row>
    <row r="230" spans="2:16" x14ac:dyDescent="0.2">
      <c r="B230" s="29" t="s">
        <v>142</v>
      </c>
      <c r="C230" s="14" t="s">
        <v>143</v>
      </c>
      <c r="D230" s="6" t="s">
        <v>144</v>
      </c>
      <c r="E230" s="6" t="s">
        <v>39</v>
      </c>
      <c r="F230" s="6" t="s">
        <v>34</v>
      </c>
      <c r="G230" s="6" t="s">
        <v>17</v>
      </c>
      <c r="H230" s="6">
        <v>3</v>
      </c>
      <c r="I230" s="6" t="s">
        <v>36</v>
      </c>
      <c r="J230" s="18">
        <v>81469</v>
      </c>
      <c r="K230" s="18">
        <f t="shared" ref="K230:K234" si="17">H230*J230</f>
        <v>244407</v>
      </c>
      <c r="L230" s="6"/>
      <c r="M230" s="7" t="s">
        <v>98</v>
      </c>
      <c r="N230" s="22" t="s">
        <v>159</v>
      </c>
      <c r="O230" s="68" t="s">
        <v>287</v>
      </c>
      <c r="P230" s="69">
        <v>270036.88579395221</v>
      </c>
    </row>
    <row r="231" spans="2:16" x14ac:dyDescent="0.2">
      <c r="B231" s="29" t="s">
        <v>142</v>
      </c>
      <c r="C231" s="14" t="s">
        <v>143</v>
      </c>
      <c r="D231" s="6" t="s">
        <v>144</v>
      </c>
      <c r="E231" s="6" t="s">
        <v>39</v>
      </c>
      <c r="F231" s="6" t="s">
        <v>34</v>
      </c>
      <c r="G231" s="6" t="s">
        <v>17</v>
      </c>
      <c r="H231" s="6">
        <v>2</v>
      </c>
      <c r="I231" s="6" t="s">
        <v>36</v>
      </c>
      <c r="J231" s="18">
        <v>130256</v>
      </c>
      <c r="K231" s="18">
        <f t="shared" si="17"/>
        <v>260512</v>
      </c>
      <c r="L231" s="6"/>
      <c r="M231" s="7" t="s">
        <v>49</v>
      </c>
      <c r="N231" s="22" t="s">
        <v>161</v>
      </c>
      <c r="O231" s="68" t="s">
        <v>288</v>
      </c>
      <c r="P231" s="69">
        <v>287830.74622230162</v>
      </c>
    </row>
    <row r="232" spans="2:16" x14ac:dyDescent="0.2">
      <c r="B232" s="29" t="s">
        <v>142</v>
      </c>
      <c r="C232" s="14" t="s">
        <v>143</v>
      </c>
      <c r="D232" s="6" t="s">
        <v>144</v>
      </c>
      <c r="E232" s="6" t="s">
        <v>39</v>
      </c>
      <c r="F232" s="6" t="s">
        <v>34</v>
      </c>
      <c r="G232" s="6" t="s">
        <v>17</v>
      </c>
      <c r="H232" s="6">
        <v>1</v>
      </c>
      <c r="I232" s="6" t="s">
        <v>36</v>
      </c>
      <c r="J232" s="18">
        <v>133288</v>
      </c>
      <c r="K232" s="18">
        <f t="shared" si="17"/>
        <v>133288</v>
      </c>
      <c r="L232" s="6"/>
      <c r="M232" s="7" t="s">
        <v>162</v>
      </c>
      <c r="N232" s="22" t="s">
        <v>228</v>
      </c>
      <c r="O232" s="70" t="s">
        <v>289</v>
      </c>
      <c r="P232" s="69">
        <v>147265.32559912073</v>
      </c>
    </row>
    <row r="233" spans="2:16" x14ac:dyDescent="0.2">
      <c r="B233" s="29" t="s">
        <v>142</v>
      </c>
      <c r="C233" s="14" t="s">
        <v>143</v>
      </c>
      <c r="D233" s="6" t="s">
        <v>144</v>
      </c>
      <c r="E233" s="6" t="s">
        <v>39</v>
      </c>
      <c r="F233" s="6" t="s">
        <v>34</v>
      </c>
      <c r="G233" s="6" t="s">
        <v>17</v>
      </c>
      <c r="H233" s="6">
        <v>2</v>
      </c>
      <c r="I233" s="6" t="s">
        <v>36</v>
      </c>
      <c r="J233" s="18">
        <v>615000</v>
      </c>
      <c r="K233" s="18">
        <f t="shared" si="17"/>
        <v>1230000</v>
      </c>
      <c r="L233" s="6"/>
      <c r="M233" s="7" t="s">
        <v>239</v>
      </c>
      <c r="N233" s="22" t="s">
        <v>266</v>
      </c>
      <c r="O233" s="68" t="s">
        <v>290</v>
      </c>
      <c r="P233" s="69">
        <v>1501160.9981068405</v>
      </c>
    </row>
    <row r="234" spans="2:16" x14ac:dyDescent="0.2">
      <c r="B234" s="29" t="s">
        <v>142</v>
      </c>
      <c r="C234" s="14" t="s">
        <v>143</v>
      </c>
      <c r="D234" s="6" t="s">
        <v>144</v>
      </c>
      <c r="E234" s="6" t="s">
        <v>39</v>
      </c>
      <c r="F234" s="6" t="s">
        <v>34</v>
      </c>
      <c r="G234" s="6" t="s">
        <v>17</v>
      </c>
      <c r="H234" s="6">
        <v>3</v>
      </c>
      <c r="I234" s="6" t="s">
        <v>36</v>
      </c>
      <c r="J234" s="18">
        <v>328436</v>
      </c>
      <c r="K234" s="18">
        <f t="shared" si="17"/>
        <v>985308</v>
      </c>
      <c r="L234" s="6"/>
      <c r="M234" s="7" t="s">
        <v>240</v>
      </c>
      <c r="N234" s="22" t="s">
        <v>233</v>
      </c>
      <c r="O234" s="63"/>
      <c r="P234" s="30">
        <v>1088334.5972443633</v>
      </c>
    </row>
    <row r="235" spans="2:16" x14ac:dyDescent="0.2">
      <c r="B235" s="29" t="s">
        <v>142</v>
      </c>
      <c r="C235" s="14" t="s">
        <v>143</v>
      </c>
      <c r="D235" s="6" t="s">
        <v>144</v>
      </c>
      <c r="E235" s="6" t="s">
        <v>39</v>
      </c>
      <c r="F235" s="6" t="s">
        <v>34</v>
      </c>
      <c r="G235" s="6" t="s">
        <v>17</v>
      </c>
      <c r="H235" s="6">
        <v>8</v>
      </c>
      <c r="I235" s="6" t="s">
        <v>36</v>
      </c>
      <c r="J235" s="18"/>
      <c r="K235" s="18"/>
      <c r="L235" s="6"/>
      <c r="M235" s="7" t="s">
        <v>276</v>
      </c>
      <c r="N235" s="22" t="s">
        <v>277</v>
      </c>
      <c r="O235" s="68" t="s">
        <v>291</v>
      </c>
      <c r="P235" s="69">
        <v>5458433.7973176287</v>
      </c>
    </row>
    <row r="236" spans="2:16" x14ac:dyDescent="0.2">
      <c r="B236" s="29" t="s">
        <v>142</v>
      </c>
      <c r="C236" s="14" t="s">
        <v>143</v>
      </c>
      <c r="D236" s="6" t="s">
        <v>144</v>
      </c>
      <c r="E236" s="6" t="s">
        <v>15</v>
      </c>
      <c r="F236" s="6" t="s">
        <v>37</v>
      </c>
      <c r="G236" s="6" t="s">
        <v>17</v>
      </c>
      <c r="H236" s="4">
        <f>2+8</f>
        <v>10</v>
      </c>
      <c r="I236" s="6" t="s">
        <v>36</v>
      </c>
      <c r="J236" s="18">
        <v>19680</v>
      </c>
      <c r="K236" s="18">
        <f t="shared" ref="K236:K242" si="18">H236*J236</f>
        <v>196800</v>
      </c>
      <c r="L236" s="6"/>
      <c r="M236" s="7" t="s">
        <v>129</v>
      </c>
      <c r="N236" s="12" t="s">
        <v>102</v>
      </c>
      <c r="O236" s="64"/>
      <c r="P236" s="30">
        <v>244528.85377226307</v>
      </c>
    </row>
    <row r="237" spans="2:16" x14ac:dyDescent="0.2">
      <c r="B237" s="29" t="s">
        <v>142</v>
      </c>
      <c r="C237" s="14" t="s">
        <v>143</v>
      </c>
      <c r="D237" s="6" t="s">
        <v>144</v>
      </c>
      <c r="E237" s="6" t="s">
        <v>15</v>
      </c>
      <c r="F237" s="6" t="s">
        <v>37</v>
      </c>
      <c r="G237" s="6" t="s">
        <v>17</v>
      </c>
      <c r="H237" s="4">
        <v>2</v>
      </c>
      <c r="I237" s="6" t="s">
        <v>36</v>
      </c>
      <c r="J237" s="18">
        <v>27120</v>
      </c>
      <c r="K237" s="18">
        <f t="shared" si="18"/>
        <v>54240</v>
      </c>
      <c r="L237" s="6"/>
      <c r="M237" s="7" t="s">
        <v>129</v>
      </c>
      <c r="N237" s="12" t="s">
        <v>101</v>
      </c>
      <c r="O237" s="64"/>
      <c r="P237" s="30">
        <v>53696.467979992703</v>
      </c>
    </row>
    <row r="238" spans="2:16" x14ac:dyDescent="0.2">
      <c r="B238" s="29" t="s">
        <v>142</v>
      </c>
      <c r="C238" s="14" t="s">
        <v>143</v>
      </c>
      <c r="D238" s="6" t="s">
        <v>144</v>
      </c>
      <c r="E238" s="6" t="s">
        <v>15</v>
      </c>
      <c r="F238" s="6" t="s">
        <v>37</v>
      </c>
      <c r="G238" s="6" t="s">
        <v>17</v>
      </c>
      <c r="H238" s="4">
        <f>10+2+1</f>
        <v>13</v>
      </c>
      <c r="I238" s="6" t="s">
        <v>36</v>
      </c>
      <c r="J238" s="18">
        <v>27495</v>
      </c>
      <c r="K238" s="18">
        <f t="shared" si="18"/>
        <v>357435</v>
      </c>
      <c r="L238" s="6"/>
      <c r="M238" s="7" t="s">
        <v>129</v>
      </c>
      <c r="N238" s="12" t="s">
        <v>67</v>
      </c>
      <c r="O238" s="64"/>
      <c r="P238" s="30">
        <v>389603.23089392856</v>
      </c>
    </row>
    <row r="239" spans="2:16" x14ac:dyDescent="0.2">
      <c r="B239" s="29" t="s">
        <v>142</v>
      </c>
      <c r="C239" s="14" t="s">
        <v>143</v>
      </c>
      <c r="D239" s="6" t="s">
        <v>144</v>
      </c>
      <c r="E239" s="6" t="s">
        <v>15</v>
      </c>
      <c r="F239" s="6" t="s">
        <v>37</v>
      </c>
      <c r="G239" s="6" t="s">
        <v>17</v>
      </c>
      <c r="H239" s="4">
        <f>4</f>
        <v>4</v>
      </c>
      <c r="I239" s="6" t="s">
        <v>36</v>
      </c>
      <c r="J239" s="18">
        <v>32948</v>
      </c>
      <c r="K239" s="18">
        <f t="shared" si="18"/>
        <v>131792</v>
      </c>
      <c r="L239" s="6"/>
      <c r="M239" s="7" t="s">
        <v>129</v>
      </c>
      <c r="N239" s="12" t="s">
        <v>62</v>
      </c>
      <c r="O239" s="64"/>
      <c r="P239" s="30">
        <v>141383.02116444006</v>
      </c>
    </row>
    <row r="240" spans="2:16" x14ac:dyDescent="0.2">
      <c r="B240" s="29" t="s">
        <v>142</v>
      </c>
      <c r="C240" s="14" t="s">
        <v>143</v>
      </c>
      <c r="D240" s="6" t="s">
        <v>144</v>
      </c>
      <c r="E240" s="6" t="s">
        <v>15</v>
      </c>
      <c r="F240" s="6" t="s">
        <v>37</v>
      </c>
      <c r="G240" s="6" t="s">
        <v>17</v>
      </c>
      <c r="H240" s="4">
        <v>2</v>
      </c>
      <c r="I240" s="6" t="s">
        <v>36</v>
      </c>
      <c r="J240" s="18">
        <v>51743</v>
      </c>
      <c r="K240" s="18">
        <f t="shared" si="18"/>
        <v>103486</v>
      </c>
      <c r="L240" s="6"/>
      <c r="M240" s="7" t="s">
        <v>129</v>
      </c>
      <c r="N240" s="12" t="s">
        <v>63</v>
      </c>
      <c r="O240" s="64"/>
      <c r="P240" s="30">
        <v>116695.90428079896</v>
      </c>
    </row>
    <row r="241" spans="2:16" x14ac:dyDescent="0.2">
      <c r="B241" s="29" t="s">
        <v>142</v>
      </c>
      <c r="C241" s="14" t="s">
        <v>143</v>
      </c>
      <c r="D241" s="6" t="s">
        <v>144</v>
      </c>
      <c r="E241" s="6" t="s">
        <v>15</v>
      </c>
      <c r="F241" s="6" t="s">
        <v>37</v>
      </c>
      <c r="G241" s="6" t="s">
        <v>17</v>
      </c>
      <c r="H241" s="4">
        <v>4</v>
      </c>
      <c r="I241" s="6" t="s">
        <v>36</v>
      </c>
      <c r="J241" s="18">
        <v>182925</v>
      </c>
      <c r="K241" s="18">
        <f t="shared" si="18"/>
        <v>731700</v>
      </c>
      <c r="L241" s="6"/>
      <c r="M241" s="7" t="s">
        <v>129</v>
      </c>
      <c r="N241" s="12" t="s">
        <v>68</v>
      </c>
      <c r="O241" s="64"/>
      <c r="P241" s="30">
        <v>594788.92564768216</v>
      </c>
    </row>
    <row r="242" spans="2:16" x14ac:dyDescent="0.2">
      <c r="B242" s="29" t="s">
        <v>142</v>
      </c>
      <c r="C242" s="14" t="s">
        <v>143</v>
      </c>
      <c r="D242" s="6" t="s">
        <v>144</v>
      </c>
      <c r="E242" s="6" t="s">
        <v>15</v>
      </c>
      <c r="F242" s="6" t="s">
        <v>34</v>
      </c>
      <c r="G242" s="6" t="s">
        <v>17</v>
      </c>
      <c r="H242" s="6">
        <v>2</v>
      </c>
      <c r="I242" s="6" t="s">
        <v>36</v>
      </c>
      <c r="J242" s="18">
        <v>577875</v>
      </c>
      <c r="K242" s="18">
        <f t="shared" si="18"/>
        <v>1155750</v>
      </c>
      <c r="L242" s="6"/>
      <c r="M242" s="7" t="s">
        <v>103</v>
      </c>
      <c r="N242" s="8" t="s">
        <v>163</v>
      </c>
      <c r="O242" s="58"/>
      <c r="P242" s="30">
        <v>1276948.412919271</v>
      </c>
    </row>
    <row r="243" spans="2:16" x14ac:dyDescent="0.2">
      <c r="B243" s="29" t="s">
        <v>142</v>
      </c>
      <c r="C243" s="14" t="s">
        <v>143</v>
      </c>
      <c r="D243" s="6" t="s">
        <v>144</v>
      </c>
      <c r="E243" s="6" t="s">
        <v>15</v>
      </c>
      <c r="F243" s="6" t="s">
        <v>37</v>
      </c>
      <c r="G243" s="6" t="s">
        <v>17</v>
      </c>
      <c r="H243" s="4">
        <v>1</v>
      </c>
      <c r="I243" s="6" t="s">
        <v>36</v>
      </c>
      <c r="J243" s="18">
        <v>8126</v>
      </c>
      <c r="K243" s="18">
        <f t="shared" ref="K243:K250" si="19">H243*J243</f>
        <v>8126</v>
      </c>
      <c r="L243" s="6"/>
      <c r="M243" s="3" t="s">
        <v>61</v>
      </c>
      <c r="N243" s="12" t="s">
        <v>102</v>
      </c>
      <c r="O243" s="64"/>
      <c r="P243" s="30">
        <v>8978.1378355024844</v>
      </c>
    </row>
    <row r="244" spans="2:16" x14ac:dyDescent="0.2">
      <c r="B244" s="29" t="s">
        <v>142</v>
      </c>
      <c r="C244" s="14" t="s">
        <v>143</v>
      </c>
      <c r="D244" s="6" t="s">
        <v>144</v>
      </c>
      <c r="E244" s="6" t="s">
        <v>39</v>
      </c>
      <c r="F244" s="6" t="s">
        <v>37</v>
      </c>
      <c r="G244" s="6" t="s">
        <v>17</v>
      </c>
      <c r="H244" s="4">
        <f>8+4</f>
        <v>12</v>
      </c>
      <c r="I244" s="6" t="s">
        <v>36</v>
      </c>
      <c r="J244" s="18">
        <v>10820</v>
      </c>
      <c r="K244" s="18">
        <f t="shared" si="19"/>
        <v>129840</v>
      </c>
      <c r="L244" s="6"/>
      <c r="M244" s="3" t="s">
        <v>61</v>
      </c>
      <c r="N244" s="12" t="s">
        <v>101</v>
      </c>
      <c r="O244" s="64"/>
      <c r="P244" s="30">
        <v>121937.38666962789</v>
      </c>
    </row>
    <row r="245" spans="2:16" x14ac:dyDescent="0.2">
      <c r="B245" s="29" t="s">
        <v>142</v>
      </c>
      <c r="C245" s="14" t="s">
        <v>143</v>
      </c>
      <c r="D245" s="6" t="s">
        <v>144</v>
      </c>
      <c r="E245" s="6" t="s">
        <v>39</v>
      </c>
      <c r="F245" s="6" t="s">
        <v>37</v>
      </c>
      <c r="G245" s="6" t="s">
        <v>17</v>
      </c>
      <c r="H245" s="4">
        <f>1+4</f>
        <v>5</v>
      </c>
      <c r="I245" s="6" t="s">
        <v>36</v>
      </c>
      <c r="J245" s="18">
        <v>12580</v>
      </c>
      <c r="K245" s="18">
        <f t="shared" si="19"/>
        <v>62900</v>
      </c>
      <c r="L245" s="6"/>
      <c r="M245" s="3" t="s">
        <v>61</v>
      </c>
      <c r="N245" s="12" t="s">
        <v>67</v>
      </c>
      <c r="O245" s="64"/>
      <c r="P245" s="30">
        <v>59071.63910597346</v>
      </c>
    </row>
    <row r="246" spans="2:16" x14ac:dyDescent="0.2">
      <c r="B246" s="29" t="s">
        <v>142</v>
      </c>
      <c r="C246" s="14" t="s">
        <v>143</v>
      </c>
      <c r="D246" s="6" t="s">
        <v>144</v>
      </c>
      <c r="E246" s="6" t="s">
        <v>39</v>
      </c>
      <c r="F246" s="6" t="s">
        <v>37</v>
      </c>
      <c r="G246" s="6" t="s">
        <v>17</v>
      </c>
      <c r="H246" s="4">
        <v>8</v>
      </c>
      <c r="I246" s="6" t="s">
        <v>36</v>
      </c>
      <c r="J246" s="18">
        <v>15394</v>
      </c>
      <c r="K246" s="18">
        <f t="shared" si="19"/>
        <v>123152</v>
      </c>
      <c r="L246" s="6"/>
      <c r="M246" s="3" t="s">
        <v>61</v>
      </c>
      <c r="N246" s="12" t="s">
        <v>62</v>
      </c>
      <c r="O246" s="64"/>
      <c r="P246" s="30">
        <v>136066.407915063</v>
      </c>
    </row>
    <row r="247" spans="2:16" x14ac:dyDescent="0.2">
      <c r="B247" s="29" t="s">
        <v>142</v>
      </c>
      <c r="C247" s="14" t="s">
        <v>143</v>
      </c>
      <c r="D247" s="6" t="s">
        <v>144</v>
      </c>
      <c r="E247" s="6" t="s">
        <v>39</v>
      </c>
      <c r="F247" s="6" t="s">
        <v>37</v>
      </c>
      <c r="G247" s="6" t="s">
        <v>17</v>
      </c>
      <c r="H247" s="4">
        <v>2</v>
      </c>
      <c r="I247" s="6" t="s">
        <v>36</v>
      </c>
      <c r="J247" s="18">
        <v>25850</v>
      </c>
      <c r="K247" s="18">
        <f t="shared" si="19"/>
        <v>51700</v>
      </c>
      <c r="L247" s="6"/>
      <c r="M247" s="3" t="s">
        <v>61</v>
      </c>
      <c r="N247" s="12" t="s">
        <v>130</v>
      </c>
      <c r="O247" s="64"/>
      <c r="P247" s="30">
        <v>42919.608953720097</v>
      </c>
    </row>
    <row r="248" spans="2:16" x14ac:dyDescent="0.2">
      <c r="B248" s="29" t="s">
        <v>142</v>
      </c>
      <c r="C248" s="14" t="s">
        <v>143</v>
      </c>
      <c r="D248" s="6" t="s">
        <v>144</v>
      </c>
      <c r="E248" s="6" t="s">
        <v>39</v>
      </c>
      <c r="F248" s="6" t="s">
        <v>37</v>
      </c>
      <c r="G248" s="6" t="s">
        <v>17</v>
      </c>
      <c r="H248" s="4">
        <f>66</f>
        <v>66</v>
      </c>
      <c r="I248" s="6" t="s">
        <v>36</v>
      </c>
      <c r="J248" s="18">
        <v>27360</v>
      </c>
      <c r="K248" s="18">
        <f t="shared" si="19"/>
        <v>1805760</v>
      </c>
      <c r="L248" s="6"/>
      <c r="M248" s="3" t="s">
        <v>61</v>
      </c>
      <c r="N248" s="12" t="s">
        <v>63</v>
      </c>
      <c r="O248" s="64"/>
      <c r="P248" s="30">
        <v>1695853.7842925696</v>
      </c>
    </row>
    <row r="249" spans="2:16" x14ac:dyDescent="0.2">
      <c r="B249" s="29" t="s">
        <v>142</v>
      </c>
      <c r="C249" s="14" t="s">
        <v>143</v>
      </c>
      <c r="D249" s="6" t="s">
        <v>144</v>
      </c>
      <c r="E249" s="6" t="s">
        <v>39</v>
      </c>
      <c r="F249" s="6" t="s">
        <v>37</v>
      </c>
      <c r="G249" s="6" t="s">
        <v>17</v>
      </c>
      <c r="H249" s="4">
        <v>5</v>
      </c>
      <c r="I249" s="6" t="s">
        <v>36</v>
      </c>
      <c r="J249" s="18">
        <v>94530</v>
      </c>
      <c r="K249" s="18">
        <f t="shared" si="19"/>
        <v>472650</v>
      </c>
      <c r="L249" s="6"/>
      <c r="M249" s="3" t="s">
        <v>61</v>
      </c>
      <c r="N249" s="12" t="s">
        <v>68</v>
      </c>
      <c r="O249" s="64"/>
      <c r="P249" s="30">
        <v>362395.91558513598</v>
      </c>
    </row>
    <row r="250" spans="2:16" x14ac:dyDescent="0.2">
      <c r="B250" s="29" t="s">
        <v>142</v>
      </c>
      <c r="C250" s="14" t="s">
        <v>143</v>
      </c>
      <c r="D250" s="6" t="s">
        <v>144</v>
      </c>
      <c r="E250" s="6" t="s">
        <v>39</v>
      </c>
      <c r="F250" s="6" t="s">
        <v>37</v>
      </c>
      <c r="G250" s="6" t="s">
        <v>17</v>
      </c>
      <c r="H250" s="4">
        <v>1</v>
      </c>
      <c r="I250" s="6" t="s">
        <v>36</v>
      </c>
      <c r="J250" s="18">
        <v>87600</v>
      </c>
      <c r="K250" s="18">
        <f t="shared" si="19"/>
        <v>87600</v>
      </c>
      <c r="L250" s="6"/>
      <c r="M250" s="3" t="s">
        <v>61</v>
      </c>
      <c r="N250" s="12" t="s">
        <v>131</v>
      </c>
      <c r="O250" s="64"/>
      <c r="P250" s="30">
        <v>82268.292300211047</v>
      </c>
    </row>
    <row r="251" spans="2:16" x14ac:dyDescent="0.2">
      <c r="B251" s="29" t="s">
        <v>142</v>
      </c>
      <c r="C251" s="14" t="s">
        <v>143</v>
      </c>
      <c r="D251" s="6" t="s">
        <v>144</v>
      </c>
      <c r="E251" s="6" t="s">
        <v>39</v>
      </c>
      <c r="F251" s="6" t="s">
        <v>37</v>
      </c>
      <c r="G251" s="6" t="s">
        <v>17</v>
      </c>
      <c r="H251" s="4">
        <v>1</v>
      </c>
      <c r="I251" s="6" t="s">
        <v>36</v>
      </c>
      <c r="J251" s="18">
        <v>13372</v>
      </c>
      <c r="K251" s="18">
        <f>J251*H251</f>
        <v>13372</v>
      </c>
      <c r="L251" s="6"/>
      <c r="M251" s="3" t="s">
        <v>164</v>
      </c>
      <c r="N251" s="12" t="s">
        <v>102</v>
      </c>
      <c r="O251" s="64"/>
      <c r="P251" s="30">
        <v>5494.4966103807355</v>
      </c>
    </row>
    <row r="252" spans="2:16" x14ac:dyDescent="0.2">
      <c r="B252" s="29" t="s">
        <v>142</v>
      </c>
      <c r="C252" s="14" t="s">
        <v>143</v>
      </c>
      <c r="D252" s="6" t="s">
        <v>144</v>
      </c>
      <c r="E252" s="6" t="s">
        <v>39</v>
      </c>
      <c r="F252" s="6" t="s">
        <v>37</v>
      </c>
      <c r="G252" s="6" t="s">
        <v>17</v>
      </c>
      <c r="H252" s="4">
        <v>1</v>
      </c>
      <c r="I252" s="6" t="s">
        <v>36</v>
      </c>
      <c r="J252" s="18">
        <f>17921</f>
        <v>17921</v>
      </c>
      <c r="K252" s="18">
        <f>H252*J252</f>
        <v>17921</v>
      </c>
      <c r="L252" s="6"/>
      <c r="M252" s="3" t="s">
        <v>164</v>
      </c>
      <c r="N252" s="12" t="s">
        <v>67</v>
      </c>
      <c r="O252" s="64"/>
      <c r="P252" s="30">
        <v>7159.5290639990271</v>
      </c>
    </row>
    <row r="253" spans="2:16" x14ac:dyDescent="0.2">
      <c r="B253" s="29" t="s">
        <v>142</v>
      </c>
      <c r="C253" s="14" t="s">
        <v>143</v>
      </c>
      <c r="D253" s="6" t="s">
        <v>144</v>
      </c>
      <c r="E253" s="6" t="s">
        <v>39</v>
      </c>
      <c r="F253" s="6" t="s">
        <v>37</v>
      </c>
      <c r="G253" s="6" t="s">
        <v>17</v>
      </c>
      <c r="H253" s="4">
        <v>2</v>
      </c>
      <c r="I253" s="6" t="s">
        <v>36</v>
      </c>
      <c r="J253" s="18">
        <v>22695</v>
      </c>
      <c r="K253" s="18">
        <f>H253*J253</f>
        <v>45390</v>
      </c>
      <c r="L253" s="6"/>
      <c r="M253" s="3" t="s">
        <v>164</v>
      </c>
      <c r="N253" s="12" t="s">
        <v>62</v>
      </c>
      <c r="O253" s="64"/>
      <c r="P253" s="30">
        <v>17202.757334330996</v>
      </c>
    </row>
    <row r="254" spans="2:16" x14ac:dyDescent="0.2">
      <c r="B254" s="29" t="s">
        <v>142</v>
      </c>
      <c r="C254" s="14" t="s">
        <v>143</v>
      </c>
      <c r="D254" s="6" t="s">
        <v>144</v>
      </c>
      <c r="E254" s="6" t="s">
        <v>39</v>
      </c>
      <c r="F254" s="6" t="s">
        <v>37</v>
      </c>
      <c r="G254" s="6" t="s">
        <v>17</v>
      </c>
      <c r="H254" s="6">
        <v>8</v>
      </c>
      <c r="I254" s="6" t="s">
        <v>36</v>
      </c>
      <c r="J254" s="18">
        <v>13372</v>
      </c>
      <c r="K254" s="18">
        <f>J254*H254</f>
        <v>106976</v>
      </c>
      <c r="L254" s="6"/>
      <c r="M254" s="3" t="s">
        <v>165</v>
      </c>
      <c r="N254" s="8" t="s">
        <v>102</v>
      </c>
      <c r="O254" s="58"/>
      <c r="P254" s="30">
        <v>118194.10202937653</v>
      </c>
    </row>
    <row r="255" spans="2:16" x14ac:dyDescent="0.2">
      <c r="B255" s="29" t="s">
        <v>142</v>
      </c>
      <c r="C255" s="14" t="s">
        <v>143</v>
      </c>
      <c r="D255" s="6" t="s">
        <v>144</v>
      </c>
      <c r="E255" s="6" t="s">
        <v>39</v>
      </c>
      <c r="F255" s="6" t="s">
        <v>37</v>
      </c>
      <c r="G255" s="6" t="s">
        <v>17</v>
      </c>
      <c r="H255" s="6">
        <v>6</v>
      </c>
      <c r="I255" s="6" t="s">
        <v>36</v>
      </c>
      <c r="J255" s="18">
        <v>14948</v>
      </c>
      <c r="K255" s="18">
        <f>H255*J255</f>
        <v>89688</v>
      </c>
      <c r="L255" s="6"/>
      <c r="M255" s="3" t="s">
        <v>165</v>
      </c>
      <c r="N255" s="8" t="s">
        <v>101</v>
      </c>
      <c r="O255" s="58"/>
      <c r="P255" s="30">
        <v>99093.185600608762</v>
      </c>
    </row>
    <row r="256" spans="2:16" x14ac:dyDescent="0.2">
      <c r="B256" s="29" t="s">
        <v>142</v>
      </c>
      <c r="C256" s="14" t="s">
        <v>143</v>
      </c>
      <c r="D256" s="6" t="s">
        <v>144</v>
      </c>
      <c r="E256" s="6" t="s">
        <v>39</v>
      </c>
      <c r="F256" s="6" t="s">
        <v>37</v>
      </c>
      <c r="G256" s="6" t="s">
        <v>17</v>
      </c>
      <c r="H256" s="6">
        <v>5</v>
      </c>
      <c r="I256" s="6" t="s">
        <v>36</v>
      </c>
      <c r="J256" s="18">
        <f>17921</f>
        <v>17921</v>
      </c>
      <c r="K256" s="18">
        <f>H256*J256</f>
        <v>89605</v>
      </c>
      <c r="L256" s="6"/>
      <c r="M256" s="3" t="s">
        <v>165</v>
      </c>
      <c r="N256" s="8" t="s">
        <v>67</v>
      </c>
      <c r="O256" s="58"/>
      <c r="P256" s="30">
        <v>99001.481756116176</v>
      </c>
    </row>
    <row r="257" spans="2:16" x14ac:dyDescent="0.2">
      <c r="B257" s="29" t="s">
        <v>142</v>
      </c>
      <c r="C257" s="14" t="s">
        <v>143</v>
      </c>
      <c r="D257" s="6" t="s">
        <v>144</v>
      </c>
      <c r="E257" s="6" t="s">
        <v>39</v>
      </c>
      <c r="F257" s="6" t="s">
        <v>37</v>
      </c>
      <c r="G257" s="6" t="s">
        <v>17</v>
      </c>
      <c r="H257" s="6">
        <v>2</v>
      </c>
      <c r="I257" s="6" t="s">
        <v>36</v>
      </c>
      <c r="J257" s="18">
        <v>29923</v>
      </c>
      <c r="K257" s="18">
        <f>H257*J257</f>
        <v>59846</v>
      </c>
      <c r="L257" s="6"/>
      <c r="M257" s="3" t="s">
        <v>165</v>
      </c>
      <c r="N257" s="8" t="s">
        <v>130</v>
      </c>
      <c r="O257" s="58"/>
      <c r="P257" s="30">
        <v>66121.786475939167</v>
      </c>
    </row>
    <row r="258" spans="2:16" x14ac:dyDescent="0.2">
      <c r="B258" s="29" t="s">
        <v>142</v>
      </c>
      <c r="C258" s="14" t="s">
        <v>143</v>
      </c>
      <c r="D258" s="6" t="s">
        <v>144</v>
      </c>
      <c r="E258" s="6" t="s">
        <v>39</v>
      </c>
      <c r="F258" s="6" t="s">
        <v>34</v>
      </c>
      <c r="G258" s="6" t="s">
        <v>17</v>
      </c>
      <c r="H258" s="4">
        <v>8</v>
      </c>
      <c r="I258" s="6" t="s">
        <v>36</v>
      </c>
      <c r="J258" s="18">
        <v>93664</v>
      </c>
      <c r="K258" s="18">
        <f t="shared" ref="K258:K265" si="20">H258*J258</f>
        <v>749312</v>
      </c>
      <c r="L258" s="6"/>
      <c r="M258" s="3" t="s">
        <v>65</v>
      </c>
      <c r="N258" s="12" t="s">
        <v>62</v>
      </c>
      <c r="O258" s="64"/>
      <c r="P258" s="30">
        <v>827889.04969185789</v>
      </c>
    </row>
    <row r="259" spans="2:16" x14ac:dyDescent="0.2">
      <c r="B259" s="29" t="s">
        <v>142</v>
      </c>
      <c r="C259" s="14" t="s">
        <v>143</v>
      </c>
      <c r="D259" s="6" t="s">
        <v>144</v>
      </c>
      <c r="E259" s="6" t="s">
        <v>39</v>
      </c>
      <c r="F259" s="6" t="s">
        <v>34</v>
      </c>
      <c r="G259" s="6" t="s">
        <v>17</v>
      </c>
      <c r="H259" s="4">
        <v>64</v>
      </c>
      <c r="I259" s="6" t="s">
        <v>36</v>
      </c>
      <c r="J259" s="18">
        <v>135331</v>
      </c>
      <c r="K259" s="18">
        <f t="shared" si="20"/>
        <v>8661184</v>
      </c>
      <c r="L259" s="6"/>
      <c r="M259" s="3" t="s">
        <v>65</v>
      </c>
      <c r="N259" s="12" t="s">
        <v>63</v>
      </c>
      <c r="O259" s="64"/>
      <c r="P259" s="30">
        <v>9569444.2247906402</v>
      </c>
    </row>
    <row r="260" spans="2:16" x14ac:dyDescent="0.2">
      <c r="B260" s="29" t="s">
        <v>142</v>
      </c>
      <c r="C260" s="14" t="s">
        <v>143</v>
      </c>
      <c r="D260" s="6" t="s">
        <v>144</v>
      </c>
      <c r="E260" s="6" t="s">
        <v>39</v>
      </c>
      <c r="F260" s="6" t="s">
        <v>34</v>
      </c>
      <c r="G260" s="6" t="s">
        <v>17</v>
      </c>
      <c r="H260" s="4">
        <v>2</v>
      </c>
      <c r="I260" s="6" t="s">
        <v>36</v>
      </c>
      <c r="J260" s="18">
        <v>158968</v>
      </c>
      <c r="K260" s="18">
        <f t="shared" si="20"/>
        <v>317936</v>
      </c>
      <c r="L260" s="6"/>
      <c r="M260" s="3" t="s">
        <v>65</v>
      </c>
      <c r="N260" s="12" t="s">
        <v>64</v>
      </c>
      <c r="O260" s="64"/>
      <c r="P260" s="30">
        <v>351276.54822401155</v>
      </c>
    </row>
    <row r="261" spans="2:16" x14ac:dyDescent="0.2">
      <c r="B261" s="29" t="s">
        <v>142</v>
      </c>
      <c r="C261" s="14" t="s">
        <v>143</v>
      </c>
      <c r="D261" s="6" t="s">
        <v>144</v>
      </c>
      <c r="E261" s="6" t="s">
        <v>39</v>
      </c>
      <c r="F261" s="6" t="s">
        <v>37</v>
      </c>
      <c r="G261" s="6" t="s">
        <v>17</v>
      </c>
      <c r="H261" s="6">
        <v>2</v>
      </c>
      <c r="I261" s="6" t="s">
        <v>36</v>
      </c>
      <c r="J261" s="18">
        <v>396400</v>
      </c>
      <c r="K261" s="18">
        <f t="shared" si="20"/>
        <v>792800</v>
      </c>
      <c r="L261" s="6"/>
      <c r="M261" s="7" t="s">
        <v>106</v>
      </c>
      <c r="N261" s="8" t="s">
        <v>166</v>
      </c>
      <c r="O261" s="58"/>
      <c r="P261" s="30">
        <v>1093286.6048469627</v>
      </c>
    </row>
    <row r="262" spans="2:16" x14ac:dyDescent="0.2">
      <c r="B262" s="29" t="s">
        <v>142</v>
      </c>
      <c r="C262" s="14" t="s">
        <v>143</v>
      </c>
      <c r="D262" s="6" t="s">
        <v>144</v>
      </c>
      <c r="E262" s="6" t="s">
        <v>39</v>
      </c>
      <c r="F262" s="6" t="s">
        <v>37</v>
      </c>
      <c r="G262" s="6" t="s">
        <v>17</v>
      </c>
      <c r="H262" s="6">
        <v>1</v>
      </c>
      <c r="I262" s="6" t="s">
        <v>36</v>
      </c>
      <c r="J262" s="18">
        <v>494760</v>
      </c>
      <c r="K262" s="18">
        <f t="shared" si="20"/>
        <v>494760</v>
      </c>
      <c r="L262" s="6"/>
      <c r="M262" s="7" t="s">
        <v>106</v>
      </c>
      <c r="N262" s="8" t="s">
        <v>273</v>
      </c>
      <c r="O262" s="58"/>
      <c r="P262" s="30">
        <v>649881.94374139316</v>
      </c>
    </row>
    <row r="263" spans="2:16" x14ac:dyDescent="0.2">
      <c r="B263" s="29" t="s">
        <v>142</v>
      </c>
      <c r="C263" s="14" t="s">
        <v>143</v>
      </c>
      <c r="D263" s="6" t="s">
        <v>144</v>
      </c>
      <c r="E263" s="6" t="s">
        <v>39</v>
      </c>
      <c r="F263" s="6" t="s">
        <v>37</v>
      </c>
      <c r="G263" s="6" t="s">
        <v>17</v>
      </c>
      <c r="H263" s="6">
        <v>5</v>
      </c>
      <c r="I263" s="6" t="s">
        <v>36</v>
      </c>
      <c r="J263" s="18">
        <v>94450</v>
      </c>
      <c r="K263" s="18">
        <f t="shared" si="20"/>
        <v>472250</v>
      </c>
      <c r="L263" s="6"/>
      <c r="M263" s="7" t="s">
        <v>231</v>
      </c>
      <c r="N263" s="12" t="s">
        <v>67</v>
      </c>
      <c r="O263" s="64" t="s">
        <v>293</v>
      </c>
      <c r="P263" s="30">
        <v>521772.77785085503</v>
      </c>
    </row>
    <row r="264" spans="2:16" x14ac:dyDescent="0.2">
      <c r="B264" s="29" t="s">
        <v>142</v>
      </c>
      <c r="C264" s="14" t="s">
        <v>143</v>
      </c>
      <c r="D264" s="6" t="s">
        <v>144</v>
      </c>
      <c r="E264" s="6" t="s">
        <v>39</v>
      </c>
      <c r="F264" s="6" t="s">
        <v>37</v>
      </c>
      <c r="G264" s="6" t="s">
        <v>17</v>
      </c>
      <c r="H264" s="6">
        <v>1</v>
      </c>
      <c r="I264" s="6" t="s">
        <v>36</v>
      </c>
      <c r="J264" s="18">
        <v>202500</v>
      </c>
      <c r="K264" s="18">
        <f t="shared" si="20"/>
        <v>202500</v>
      </c>
      <c r="L264" s="6"/>
      <c r="M264" s="7" t="s">
        <v>231</v>
      </c>
      <c r="N264" s="12" t="s">
        <v>64</v>
      </c>
      <c r="O264" s="64" t="s">
        <v>294</v>
      </c>
      <c r="P264" s="30">
        <v>223735.28324996962</v>
      </c>
    </row>
    <row r="265" spans="2:16" x14ac:dyDescent="0.2">
      <c r="B265" s="29" t="s">
        <v>142</v>
      </c>
      <c r="C265" s="14" t="s">
        <v>143</v>
      </c>
      <c r="D265" s="6" t="s">
        <v>144</v>
      </c>
      <c r="E265" s="6" t="s">
        <v>39</v>
      </c>
      <c r="F265" s="6" t="s">
        <v>37</v>
      </c>
      <c r="G265" s="6" t="s">
        <v>17</v>
      </c>
      <c r="H265" s="6">
        <v>1</v>
      </c>
      <c r="I265" s="6" t="s">
        <v>36</v>
      </c>
      <c r="J265" s="18">
        <v>329400</v>
      </c>
      <c r="K265" s="18">
        <f t="shared" si="20"/>
        <v>329400</v>
      </c>
      <c r="L265" s="6"/>
      <c r="M265" s="7" t="s">
        <v>231</v>
      </c>
      <c r="N265" s="12" t="s">
        <v>68</v>
      </c>
      <c r="O265" s="64" t="s">
        <v>295</v>
      </c>
      <c r="P265" s="30">
        <v>363942.72741995059</v>
      </c>
    </row>
    <row r="266" spans="2:16" x14ac:dyDescent="0.2">
      <c r="B266" s="29" t="s">
        <v>142</v>
      </c>
      <c r="C266" s="14" t="s">
        <v>143</v>
      </c>
      <c r="D266" s="6" t="s">
        <v>144</v>
      </c>
      <c r="E266" s="6" t="s">
        <v>39</v>
      </c>
      <c r="F266" s="6" t="s">
        <v>37</v>
      </c>
      <c r="G266" s="6" t="s">
        <v>17</v>
      </c>
      <c r="H266" s="6">
        <v>4</v>
      </c>
      <c r="I266" s="6" t="s">
        <v>36</v>
      </c>
      <c r="J266" s="18"/>
      <c r="K266" s="18"/>
      <c r="L266" s="6"/>
      <c r="M266" s="7" t="s">
        <v>169</v>
      </c>
      <c r="N266" s="8" t="s">
        <v>167</v>
      </c>
      <c r="O266" s="58"/>
      <c r="P266" s="30">
        <v>1065753.3541872627</v>
      </c>
    </row>
    <row r="267" spans="2:16" x14ac:dyDescent="0.2">
      <c r="B267" s="29" t="s">
        <v>142</v>
      </c>
      <c r="C267" s="14" t="s">
        <v>143</v>
      </c>
      <c r="D267" s="6" t="s">
        <v>144</v>
      </c>
      <c r="E267" s="6" t="s">
        <v>39</v>
      </c>
      <c r="F267" s="6" t="s">
        <v>37</v>
      </c>
      <c r="G267" s="6" t="s">
        <v>17</v>
      </c>
      <c r="H267" s="6">
        <v>1</v>
      </c>
      <c r="I267" s="6" t="s">
        <v>36</v>
      </c>
      <c r="J267" s="18"/>
      <c r="K267" s="18"/>
      <c r="L267" s="6"/>
      <c r="M267" s="7" t="s">
        <v>169</v>
      </c>
      <c r="N267" s="8" t="s">
        <v>168</v>
      </c>
      <c r="O267" s="58"/>
      <c r="P267" s="30">
        <v>344718.06604439759</v>
      </c>
    </row>
    <row r="268" spans="2:16" x14ac:dyDescent="0.2">
      <c r="B268" s="29" t="s">
        <v>142</v>
      </c>
      <c r="C268" s="14" t="s">
        <v>143</v>
      </c>
      <c r="D268" s="6" t="s">
        <v>144</v>
      </c>
      <c r="E268" s="6" t="s">
        <v>15</v>
      </c>
      <c r="F268" s="6" t="s">
        <v>71</v>
      </c>
      <c r="G268" s="6" t="s">
        <v>17</v>
      </c>
      <c r="H268" s="6">
        <v>20</v>
      </c>
      <c r="I268" s="6" t="s">
        <v>241</v>
      </c>
      <c r="J268" s="18"/>
      <c r="K268" s="18"/>
      <c r="L268" s="6"/>
      <c r="M268" s="7" t="s">
        <v>73</v>
      </c>
      <c r="N268" s="8"/>
      <c r="O268" s="58"/>
      <c r="P268" s="30">
        <v>7357693.5588614382</v>
      </c>
    </row>
    <row r="269" spans="2:16" x14ac:dyDescent="0.2">
      <c r="B269" s="29" t="s">
        <v>142</v>
      </c>
      <c r="C269" s="14" t="s">
        <v>143</v>
      </c>
      <c r="D269" s="6" t="s">
        <v>144</v>
      </c>
      <c r="E269" s="6" t="s">
        <v>15</v>
      </c>
      <c r="F269" s="6" t="s">
        <v>72</v>
      </c>
      <c r="G269" s="6" t="s">
        <v>17</v>
      </c>
      <c r="H269" s="6">
        <v>85</v>
      </c>
      <c r="I269" s="6" t="s">
        <v>36</v>
      </c>
      <c r="J269" s="18"/>
      <c r="K269" s="18">
        <v>5040442</v>
      </c>
      <c r="L269" s="6"/>
      <c r="M269" s="7" t="s">
        <v>75</v>
      </c>
      <c r="N269" s="8"/>
      <c r="O269" s="58"/>
      <c r="P269" s="30">
        <v>3678846.7794307191</v>
      </c>
    </row>
    <row r="270" spans="2:16" x14ac:dyDescent="0.2">
      <c r="B270" s="29" t="s">
        <v>142</v>
      </c>
      <c r="C270" s="14" t="s">
        <v>143</v>
      </c>
      <c r="D270" s="6" t="s">
        <v>144</v>
      </c>
      <c r="E270" s="6" t="s">
        <v>15</v>
      </c>
      <c r="F270" s="6" t="s">
        <v>72</v>
      </c>
      <c r="G270" s="6" t="s">
        <v>17</v>
      </c>
      <c r="H270" s="6">
        <v>8</v>
      </c>
      <c r="I270" s="6" t="s">
        <v>241</v>
      </c>
      <c r="J270" s="18"/>
      <c r="K270" s="18"/>
      <c r="L270" s="6"/>
      <c r="M270" s="7" t="s">
        <v>74</v>
      </c>
      <c r="N270" s="8"/>
      <c r="O270" s="58"/>
      <c r="P270" s="30">
        <v>9810258.0784819182</v>
      </c>
    </row>
    <row r="271" spans="2:16" x14ac:dyDescent="0.2">
      <c r="B271" s="29" t="s">
        <v>142</v>
      </c>
      <c r="C271" s="14" t="s">
        <v>143</v>
      </c>
      <c r="D271" s="6" t="s">
        <v>144</v>
      </c>
      <c r="E271" s="6" t="s">
        <v>15</v>
      </c>
      <c r="F271" s="6" t="s">
        <v>72</v>
      </c>
      <c r="G271" s="6" t="s">
        <v>17</v>
      </c>
      <c r="H271" s="6">
        <v>1</v>
      </c>
      <c r="I271" s="6" t="s">
        <v>241</v>
      </c>
      <c r="J271" s="18"/>
      <c r="K271" s="18"/>
      <c r="L271" s="6"/>
      <c r="M271" s="7" t="s">
        <v>247</v>
      </c>
      <c r="N271" s="8" t="s">
        <v>271</v>
      </c>
      <c r="O271" s="68" t="s">
        <v>292</v>
      </c>
      <c r="P271" s="69">
        <v>7996265.8773860252</v>
      </c>
    </row>
    <row r="272" spans="2:16" x14ac:dyDescent="0.2">
      <c r="B272" s="29" t="s">
        <v>142</v>
      </c>
      <c r="C272" s="14" t="s">
        <v>143</v>
      </c>
      <c r="D272" s="6" t="s">
        <v>144</v>
      </c>
      <c r="E272" s="6" t="s">
        <v>15</v>
      </c>
      <c r="F272" s="6" t="s">
        <v>71</v>
      </c>
      <c r="G272" s="6" t="s">
        <v>17</v>
      </c>
      <c r="H272" s="6">
        <v>7</v>
      </c>
      <c r="I272" s="6" t="s">
        <v>241</v>
      </c>
      <c r="J272" s="18"/>
      <c r="K272" s="18"/>
      <c r="L272" s="6"/>
      <c r="M272" s="7" t="s">
        <v>76</v>
      </c>
      <c r="N272" s="8"/>
      <c r="O272" s="58"/>
      <c r="P272" s="30">
        <v>245256.45196204796</v>
      </c>
    </row>
    <row r="273" spans="2:16" x14ac:dyDescent="0.2">
      <c r="B273" s="29" t="s">
        <v>142</v>
      </c>
      <c r="C273" s="14" t="s">
        <v>143</v>
      </c>
      <c r="D273" s="6" t="s">
        <v>144</v>
      </c>
      <c r="E273" s="6" t="s">
        <v>15</v>
      </c>
      <c r="F273" s="6" t="s">
        <v>72</v>
      </c>
      <c r="G273" s="6" t="s">
        <v>17</v>
      </c>
      <c r="H273" s="6">
        <v>6</v>
      </c>
      <c r="I273" s="6" t="s">
        <v>241</v>
      </c>
      <c r="J273" s="18"/>
      <c r="K273" s="18"/>
      <c r="L273" s="6"/>
      <c r="M273" s="7" t="s">
        <v>77</v>
      </c>
      <c r="N273" s="8"/>
      <c r="O273" s="58"/>
      <c r="P273" s="30">
        <v>245256.45196204796</v>
      </c>
    </row>
    <row r="274" spans="2:16" x14ac:dyDescent="0.2">
      <c r="B274" s="29" t="s">
        <v>142</v>
      </c>
      <c r="C274" s="14" t="s">
        <v>143</v>
      </c>
      <c r="D274" s="6" t="s">
        <v>144</v>
      </c>
      <c r="E274" s="6" t="s">
        <v>15</v>
      </c>
      <c r="F274" s="6" t="s">
        <v>72</v>
      </c>
      <c r="G274" s="6" t="s">
        <v>17</v>
      </c>
      <c r="H274" s="6">
        <v>112</v>
      </c>
      <c r="I274" s="6" t="s">
        <v>241</v>
      </c>
      <c r="J274" s="18"/>
      <c r="K274" s="18"/>
      <c r="L274" s="6"/>
      <c r="M274" s="7" t="s">
        <v>78</v>
      </c>
      <c r="N274" s="8"/>
      <c r="O274" s="58"/>
      <c r="P274" s="30">
        <v>735769.35588614387</v>
      </c>
    </row>
    <row r="275" spans="2:16" x14ac:dyDescent="0.2">
      <c r="B275" s="29" t="s">
        <v>142</v>
      </c>
      <c r="C275" s="14" t="s">
        <v>143</v>
      </c>
      <c r="D275" s="6" t="s">
        <v>144</v>
      </c>
      <c r="E275" s="6" t="s">
        <v>15</v>
      </c>
      <c r="F275" s="6" t="s">
        <v>71</v>
      </c>
      <c r="G275" s="6" t="s">
        <v>17</v>
      </c>
      <c r="H275" s="6">
        <v>20</v>
      </c>
      <c r="I275" s="6" t="s">
        <v>241</v>
      </c>
      <c r="J275" s="18"/>
      <c r="K275" s="18"/>
      <c r="L275" s="6"/>
      <c r="M275" s="7" t="s">
        <v>79</v>
      </c>
      <c r="N275" s="8"/>
      <c r="O275" s="58"/>
      <c r="P275" s="30">
        <v>490512.90392409591</v>
      </c>
    </row>
    <row r="276" spans="2:16" x14ac:dyDescent="0.2">
      <c r="B276" s="29" t="s">
        <v>142</v>
      </c>
      <c r="C276" s="14" t="s">
        <v>143</v>
      </c>
      <c r="D276" s="6" t="s">
        <v>144</v>
      </c>
      <c r="E276" s="6" t="s">
        <v>15</v>
      </c>
      <c r="F276" s="6" t="s">
        <v>71</v>
      </c>
      <c r="G276" s="6" t="s">
        <v>17</v>
      </c>
      <c r="H276" s="6">
        <v>4</v>
      </c>
      <c r="I276" s="6" t="s">
        <v>241</v>
      </c>
      <c r="J276" s="18"/>
      <c r="K276" s="18"/>
      <c r="L276" s="6"/>
      <c r="M276" s="7" t="s">
        <v>80</v>
      </c>
      <c r="N276" s="8"/>
      <c r="O276" s="58"/>
      <c r="P276" s="30">
        <v>245256.45196204796</v>
      </c>
    </row>
    <row r="277" spans="2:16" x14ac:dyDescent="0.2">
      <c r="B277" s="29" t="s">
        <v>142</v>
      </c>
      <c r="C277" s="14" t="s">
        <v>143</v>
      </c>
      <c r="D277" s="6" t="s">
        <v>144</v>
      </c>
      <c r="E277" s="6" t="s">
        <v>15</v>
      </c>
      <c r="F277" s="6" t="s">
        <v>71</v>
      </c>
      <c r="G277" s="6" t="s">
        <v>17</v>
      </c>
      <c r="H277" s="6">
        <v>1</v>
      </c>
      <c r="I277" s="6" t="s">
        <v>241</v>
      </c>
      <c r="J277" s="18"/>
      <c r="K277" s="18"/>
      <c r="L277" s="6"/>
      <c r="M277" s="7" t="s">
        <v>81</v>
      </c>
      <c r="N277" s="8"/>
      <c r="O277" s="58"/>
      <c r="P277" s="30">
        <v>245256.45196204796</v>
      </c>
    </row>
    <row r="278" spans="2:16" x14ac:dyDescent="0.2">
      <c r="B278" s="29" t="s">
        <v>142</v>
      </c>
      <c r="C278" s="14" t="s">
        <v>143</v>
      </c>
      <c r="D278" s="6" t="s">
        <v>144</v>
      </c>
      <c r="E278" s="6" t="s">
        <v>15</v>
      </c>
      <c r="F278" s="6" t="s">
        <v>71</v>
      </c>
      <c r="G278" s="6" t="s">
        <v>17</v>
      </c>
      <c r="H278" s="6">
        <v>1</v>
      </c>
      <c r="I278" s="6" t="s">
        <v>241</v>
      </c>
      <c r="J278" s="18"/>
      <c r="K278" s="18"/>
      <c r="L278" s="6"/>
      <c r="M278" s="7" t="s">
        <v>82</v>
      </c>
      <c r="N278" s="8"/>
      <c r="O278" s="58"/>
      <c r="P278" s="30">
        <v>245256.45196204796</v>
      </c>
    </row>
    <row r="279" spans="2:16" x14ac:dyDescent="0.2">
      <c r="B279" s="29" t="s">
        <v>142</v>
      </c>
      <c r="C279" s="14" t="s">
        <v>143</v>
      </c>
      <c r="D279" s="6" t="s">
        <v>144</v>
      </c>
      <c r="E279" s="6" t="s">
        <v>15</v>
      </c>
      <c r="F279" s="6" t="s">
        <v>84</v>
      </c>
      <c r="G279" s="6" t="s">
        <v>17</v>
      </c>
      <c r="H279" s="6">
        <v>1</v>
      </c>
      <c r="I279" s="6" t="s">
        <v>36</v>
      </c>
      <c r="J279" s="18"/>
      <c r="K279" s="18"/>
      <c r="L279" s="6"/>
      <c r="M279" s="7" t="s">
        <v>83</v>
      </c>
      <c r="N279" s="8"/>
      <c r="O279" s="58"/>
      <c r="P279" s="30">
        <v>1226282.2598102398</v>
      </c>
    </row>
    <row r="280" spans="2:16" x14ac:dyDescent="0.2">
      <c r="B280" s="29" t="s">
        <v>142</v>
      </c>
      <c r="C280" s="14" t="s">
        <v>143</v>
      </c>
      <c r="D280" s="6" t="s">
        <v>144</v>
      </c>
      <c r="E280" s="6" t="s">
        <v>15</v>
      </c>
      <c r="F280" s="6" t="s">
        <v>198</v>
      </c>
      <c r="G280" s="6" t="s">
        <v>17</v>
      </c>
      <c r="H280" s="6">
        <f>8.5+19+208+184.5+45+22.5+25+32.5+2+78.5+74.5+39.5+181+125</f>
        <v>1045.5</v>
      </c>
      <c r="I280" s="6" t="s">
        <v>197</v>
      </c>
      <c r="J280" s="18">
        <v>5000</v>
      </c>
      <c r="K280" s="18">
        <f>H280*J280</f>
        <v>5227500</v>
      </c>
      <c r="L280" s="6"/>
      <c r="M280" s="7" t="s">
        <v>196</v>
      </c>
      <c r="N280" s="8"/>
      <c r="O280" s="58"/>
      <c r="P280" s="30">
        <v>33487234.354805954</v>
      </c>
    </row>
    <row r="281" spans="2:16" x14ac:dyDescent="0.2">
      <c r="B281" s="29" t="s">
        <v>142</v>
      </c>
      <c r="C281" s="14" t="s">
        <v>213</v>
      </c>
      <c r="D281" s="6" t="s">
        <v>212</v>
      </c>
      <c r="E281" s="6" t="s">
        <v>15</v>
      </c>
      <c r="F281" s="6" t="s">
        <v>225</v>
      </c>
      <c r="G281" s="6" t="s">
        <v>17</v>
      </c>
      <c r="H281" s="15">
        <v>150</v>
      </c>
      <c r="I281" s="6" t="s">
        <v>197</v>
      </c>
      <c r="J281" s="18">
        <v>3000</v>
      </c>
      <c r="K281" s="18">
        <f>J281*H281</f>
        <v>450000</v>
      </c>
      <c r="L281" s="6"/>
      <c r="M281" s="7" t="s">
        <v>224</v>
      </c>
      <c r="N281" s="8"/>
      <c r="O281" s="58"/>
      <c r="P281" s="30">
        <v>994379.03666653158</v>
      </c>
    </row>
    <row r="282" spans="2:16" ht="15" thickBot="1" x14ac:dyDescent="0.25">
      <c r="B282" s="31" t="s">
        <v>142</v>
      </c>
      <c r="C282" s="44" t="s">
        <v>143</v>
      </c>
      <c r="D282" s="32" t="s">
        <v>144</v>
      </c>
      <c r="E282" s="32" t="s">
        <v>15</v>
      </c>
      <c r="F282" s="32" t="s">
        <v>225</v>
      </c>
      <c r="G282" s="32" t="s">
        <v>17</v>
      </c>
      <c r="H282" s="32">
        <v>366</v>
      </c>
      <c r="I282" s="32" t="s">
        <v>28</v>
      </c>
      <c r="J282" s="33">
        <v>15000</v>
      </c>
      <c r="K282" s="33">
        <f>H282*J282</f>
        <v>5490000</v>
      </c>
      <c r="L282" s="32"/>
      <c r="M282" s="34" t="s">
        <v>232</v>
      </c>
      <c r="N282" s="35"/>
      <c r="O282" s="60"/>
      <c r="P282" s="50">
        <v>7181626.3759249505</v>
      </c>
    </row>
    <row r="283" spans="2:16" ht="13.5" thickBot="1" x14ac:dyDescent="0.25">
      <c r="B283" s="76"/>
      <c r="C283" s="77"/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54" t="s">
        <v>246</v>
      </c>
      <c r="P283" s="87">
        <v>563139593.937994</v>
      </c>
    </row>
    <row r="284" spans="2:16" ht="14.25" x14ac:dyDescent="0.2">
      <c r="B284" s="24" t="s">
        <v>170</v>
      </c>
      <c r="C284" s="25">
        <v>47</v>
      </c>
      <c r="D284" s="25" t="s">
        <v>171</v>
      </c>
      <c r="E284" s="25" t="s">
        <v>15</v>
      </c>
      <c r="F284" s="25" t="s">
        <v>16</v>
      </c>
      <c r="G284" s="25" t="s">
        <v>17</v>
      </c>
      <c r="H284" s="25">
        <v>81.150000000000006</v>
      </c>
      <c r="I284" s="25" t="s">
        <v>28</v>
      </c>
      <c r="J284" s="26">
        <v>180000</v>
      </c>
      <c r="K284" s="26">
        <f>H284*J284</f>
        <v>14607000.000000002</v>
      </c>
      <c r="L284" s="25"/>
      <c r="M284" s="27" t="s">
        <v>87</v>
      </c>
      <c r="N284" s="28"/>
      <c r="O284" s="57"/>
      <c r="P284" s="51">
        <v>58630846.589710966</v>
      </c>
    </row>
    <row r="285" spans="2:16" ht="14.25" x14ac:dyDescent="0.2">
      <c r="B285" s="29" t="s">
        <v>170</v>
      </c>
      <c r="C285" s="6">
        <v>47</v>
      </c>
      <c r="D285" s="6" t="s">
        <v>171</v>
      </c>
      <c r="E285" s="6" t="s">
        <v>15</v>
      </c>
      <c r="F285" s="6" t="s">
        <v>16</v>
      </c>
      <c r="G285" s="6" t="s">
        <v>18</v>
      </c>
      <c r="H285" s="16">
        <f>(6.7*15.8)</f>
        <v>105.86000000000001</v>
      </c>
      <c r="I285" s="6" t="s">
        <v>28</v>
      </c>
      <c r="J285" s="18">
        <v>120000</v>
      </c>
      <c r="K285" s="18">
        <f>H285*J285</f>
        <v>12703200.000000002</v>
      </c>
      <c r="L285" s="6"/>
      <c r="M285" s="7" t="s">
        <v>145</v>
      </c>
      <c r="N285" s="8"/>
      <c r="O285" s="58"/>
      <c r="P285" s="30">
        <v>13857023.318579094</v>
      </c>
    </row>
    <row r="286" spans="2:16" ht="14.25" x14ac:dyDescent="0.2">
      <c r="B286" s="29" t="s">
        <v>170</v>
      </c>
      <c r="C286" s="6">
        <v>47</v>
      </c>
      <c r="D286" s="6" t="s">
        <v>171</v>
      </c>
      <c r="E286" s="6" t="s">
        <v>19</v>
      </c>
      <c r="F286" s="6" t="s">
        <v>20</v>
      </c>
      <c r="G286" s="6" t="s">
        <v>17</v>
      </c>
      <c r="H286" s="6" t="s">
        <v>175</v>
      </c>
      <c r="I286" s="6" t="s">
        <v>29</v>
      </c>
      <c r="J286" s="18">
        <f>K286/20</f>
        <v>442181.95</v>
      </c>
      <c r="K286" s="18">
        <v>8843639</v>
      </c>
      <c r="L286" s="6"/>
      <c r="M286" s="7" t="s">
        <v>172</v>
      </c>
      <c r="N286" s="8" t="s">
        <v>195</v>
      </c>
      <c r="O286" s="58"/>
      <c r="P286" s="30">
        <v>4568819.0376863377</v>
      </c>
    </row>
    <row r="287" spans="2:16" ht="14.25" x14ac:dyDescent="0.2">
      <c r="B287" s="29" t="s">
        <v>170</v>
      </c>
      <c r="C287" s="6">
        <v>47</v>
      </c>
      <c r="D287" s="6" t="s">
        <v>171</v>
      </c>
      <c r="E287" s="6" t="s">
        <v>19</v>
      </c>
      <c r="F287" s="6" t="s">
        <v>20</v>
      </c>
      <c r="G287" s="6" t="s">
        <v>17</v>
      </c>
      <c r="H287" s="6">
        <v>60</v>
      </c>
      <c r="I287" s="6" t="s">
        <v>29</v>
      </c>
      <c r="J287" s="18">
        <f>K287/60</f>
        <v>229893.71666666667</v>
      </c>
      <c r="K287" s="18">
        <v>13793623</v>
      </c>
      <c r="L287" s="6"/>
      <c r="M287" s="7" t="s">
        <v>173</v>
      </c>
      <c r="N287" s="8" t="s">
        <v>195</v>
      </c>
      <c r="O287" s="58"/>
      <c r="P287" s="30">
        <v>11422046.100903481</v>
      </c>
    </row>
    <row r="288" spans="2:16" ht="14.25" x14ac:dyDescent="0.2">
      <c r="B288" s="29" t="s">
        <v>170</v>
      </c>
      <c r="C288" s="6">
        <v>47</v>
      </c>
      <c r="D288" s="6" t="s">
        <v>171</v>
      </c>
      <c r="E288" s="6" t="s">
        <v>19</v>
      </c>
      <c r="F288" s="6" t="s">
        <v>20</v>
      </c>
      <c r="G288" s="6" t="s">
        <v>17</v>
      </c>
      <c r="H288" s="6">
        <v>100</v>
      </c>
      <c r="I288" s="6" t="s">
        <v>29</v>
      </c>
      <c r="J288" s="18">
        <f>K288/100</f>
        <v>128145</v>
      </c>
      <c r="K288" s="18">
        <v>12814500</v>
      </c>
      <c r="L288" s="6"/>
      <c r="M288" s="7" t="s">
        <v>26</v>
      </c>
      <c r="N288" s="8" t="s">
        <v>195</v>
      </c>
      <c r="O288" s="58"/>
      <c r="P288" s="30">
        <v>19796486.574258972</v>
      </c>
    </row>
    <row r="289" spans="2:16" ht="14.25" x14ac:dyDescent="0.2">
      <c r="B289" s="29" t="s">
        <v>170</v>
      </c>
      <c r="C289" s="6">
        <v>47</v>
      </c>
      <c r="D289" s="6" t="s">
        <v>171</v>
      </c>
      <c r="E289" s="6" t="s">
        <v>19</v>
      </c>
      <c r="F289" s="6" t="s">
        <v>20</v>
      </c>
      <c r="G289" s="6" t="s">
        <v>17</v>
      </c>
      <c r="H289" s="6">
        <v>50</v>
      </c>
      <c r="I289" s="6" t="s">
        <v>29</v>
      </c>
      <c r="J289" s="18">
        <f>K289/50</f>
        <v>111009.36</v>
      </c>
      <c r="K289" s="18">
        <v>5550468</v>
      </c>
      <c r="L289" s="6"/>
      <c r="M289" s="7" t="s">
        <v>174</v>
      </c>
      <c r="N289" s="8" t="s">
        <v>195</v>
      </c>
      <c r="O289" s="58"/>
      <c r="P289" s="30">
        <v>7003794.7620495874</v>
      </c>
    </row>
    <row r="290" spans="2:16" x14ac:dyDescent="0.2">
      <c r="B290" s="29" t="s">
        <v>170</v>
      </c>
      <c r="C290" s="6">
        <v>47</v>
      </c>
      <c r="D290" s="6" t="s">
        <v>171</v>
      </c>
      <c r="E290" s="6" t="s">
        <v>30</v>
      </c>
      <c r="F290" s="6" t="s">
        <v>34</v>
      </c>
      <c r="G290" s="6" t="s">
        <v>17</v>
      </c>
      <c r="H290" s="6">
        <v>2</v>
      </c>
      <c r="I290" s="6" t="s">
        <v>36</v>
      </c>
      <c r="J290" s="18">
        <v>478346</v>
      </c>
      <c r="K290" s="18">
        <f t="shared" ref="K290:K291" si="21">H290*J290</f>
        <v>956692</v>
      </c>
      <c r="L290" s="6"/>
      <c r="M290" s="7" t="s">
        <v>214</v>
      </c>
      <c r="N290" s="11" t="s">
        <v>153</v>
      </c>
      <c r="O290" s="61"/>
      <c r="P290" s="30">
        <v>724806.03450336726</v>
      </c>
    </row>
    <row r="291" spans="2:16" x14ac:dyDescent="0.2">
      <c r="B291" s="29" t="s">
        <v>170</v>
      </c>
      <c r="C291" s="6">
        <v>47</v>
      </c>
      <c r="D291" s="6" t="s">
        <v>171</v>
      </c>
      <c r="E291" s="6" t="s">
        <v>30</v>
      </c>
      <c r="F291" s="6" t="s">
        <v>34</v>
      </c>
      <c r="G291" s="6" t="s">
        <v>17</v>
      </c>
      <c r="H291" s="6">
        <v>2</v>
      </c>
      <c r="I291" s="6" t="s">
        <v>36</v>
      </c>
      <c r="J291" s="18">
        <v>478346</v>
      </c>
      <c r="K291" s="18">
        <f t="shared" si="21"/>
        <v>956692</v>
      </c>
      <c r="L291" s="6"/>
      <c r="M291" s="7" t="s">
        <v>215</v>
      </c>
      <c r="N291" s="11" t="s">
        <v>267</v>
      </c>
      <c r="O291" s="61"/>
      <c r="P291" s="30">
        <v>753674.74908492004</v>
      </c>
    </row>
    <row r="292" spans="2:16" x14ac:dyDescent="0.2">
      <c r="B292" s="29" t="s">
        <v>170</v>
      </c>
      <c r="C292" s="6">
        <v>47</v>
      </c>
      <c r="D292" s="6" t="s">
        <v>171</v>
      </c>
      <c r="E292" s="6" t="s">
        <v>15</v>
      </c>
      <c r="F292" s="6" t="s">
        <v>37</v>
      </c>
      <c r="G292" s="6" t="s">
        <v>17</v>
      </c>
      <c r="H292" s="6">
        <v>2</v>
      </c>
      <c r="I292" s="6" t="s">
        <v>36</v>
      </c>
      <c r="J292" s="18">
        <v>462200</v>
      </c>
      <c r="K292" s="18">
        <f>J292*H292</f>
        <v>924400</v>
      </c>
      <c r="L292" s="6"/>
      <c r="M292" s="7" t="s">
        <v>219</v>
      </c>
      <c r="N292" s="17" t="s">
        <v>221</v>
      </c>
      <c r="O292" s="62"/>
      <c r="P292" s="30">
        <v>1380417.9474026156</v>
      </c>
    </row>
    <row r="293" spans="2:16" x14ac:dyDescent="0.2">
      <c r="B293" s="29" t="s">
        <v>170</v>
      </c>
      <c r="C293" s="6">
        <v>47</v>
      </c>
      <c r="D293" s="6" t="s">
        <v>171</v>
      </c>
      <c r="E293" s="6" t="s">
        <v>39</v>
      </c>
      <c r="F293" s="6" t="s">
        <v>37</v>
      </c>
      <c r="G293" s="6" t="s">
        <v>17</v>
      </c>
      <c r="H293" s="6">
        <v>1</v>
      </c>
      <c r="I293" s="6" t="s">
        <v>36</v>
      </c>
      <c r="J293" s="18">
        <v>3658000</v>
      </c>
      <c r="K293" s="18">
        <f>H293*J293</f>
        <v>3658000</v>
      </c>
      <c r="L293" s="6"/>
      <c r="M293" s="7" t="s">
        <v>38</v>
      </c>
      <c r="N293" s="8"/>
      <c r="O293" s="58"/>
      <c r="P293" s="30">
        <v>18275273.164120626</v>
      </c>
    </row>
    <row r="294" spans="2:16" x14ac:dyDescent="0.2">
      <c r="B294" s="29" t="s">
        <v>170</v>
      </c>
      <c r="C294" s="6">
        <v>47</v>
      </c>
      <c r="D294" s="6" t="s">
        <v>171</v>
      </c>
      <c r="E294" s="6" t="s">
        <v>39</v>
      </c>
      <c r="F294" s="6" t="s">
        <v>37</v>
      </c>
      <c r="G294" s="6" t="s">
        <v>17</v>
      </c>
      <c r="H294" s="15">
        <v>1</v>
      </c>
      <c r="I294" s="6" t="s">
        <v>36</v>
      </c>
      <c r="J294" s="18">
        <f>2170*315</f>
        <v>683550</v>
      </c>
      <c r="K294" s="18">
        <f>J294*H294</f>
        <v>683550</v>
      </c>
      <c r="L294" s="6"/>
      <c r="M294" s="7" t="s">
        <v>296</v>
      </c>
      <c r="N294" s="8" t="s">
        <v>297</v>
      </c>
      <c r="O294" s="58"/>
      <c r="P294" s="30">
        <v>2041507.3300455599</v>
      </c>
    </row>
    <row r="295" spans="2:16" x14ac:dyDescent="0.2">
      <c r="B295" s="29" t="s">
        <v>170</v>
      </c>
      <c r="C295" s="6">
        <v>47</v>
      </c>
      <c r="D295" s="6" t="s">
        <v>171</v>
      </c>
      <c r="E295" s="6" t="s">
        <v>39</v>
      </c>
      <c r="F295" s="6" t="s">
        <v>34</v>
      </c>
      <c r="G295" s="6" t="s">
        <v>17</v>
      </c>
      <c r="H295" s="6">
        <v>2</v>
      </c>
      <c r="I295" s="6" t="s">
        <v>36</v>
      </c>
      <c r="J295" s="18">
        <v>449978</v>
      </c>
      <c r="K295" s="18">
        <f>H295*J295</f>
        <v>899956</v>
      </c>
      <c r="L295" s="6"/>
      <c r="M295" s="7" t="s">
        <v>85</v>
      </c>
      <c r="N295" s="8" t="s">
        <v>176</v>
      </c>
      <c r="O295" s="58" t="s">
        <v>298</v>
      </c>
      <c r="P295" s="30">
        <v>1343915.4200266858</v>
      </c>
    </row>
    <row r="296" spans="2:16" x14ac:dyDescent="0.2">
      <c r="B296" s="29" t="s">
        <v>170</v>
      </c>
      <c r="C296" s="6">
        <v>47</v>
      </c>
      <c r="D296" s="6" t="s">
        <v>171</v>
      </c>
      <c r="E296" s="6" t="s">
        <v>39</v>
      </c>
      <c r="F296" s="6" t="s">
        <v>34</v>
      </c>
      <c r="G296" s="6" t="s">
        <v>17</v>
      </c>
      <c r="H296" s="6">
        <v>4</v>
      </c>
      <c r="I296" s="6" t="s">
        <v>36</v>
      </c>
      <c r="J296" s="18"/>
      <c r="K296" s="18"/>
      <c r="L296" s="6"/>
      <c r="M296" s="7" t="s">
        <v>43</v>
      </c>
      <c r="N296" s="8" t="s">
        <v>42</v>
      </c>
      <c r="O296" s="58"/>
      <c r="P296" s="30">
        <v>4568819.0376863377</v>
      </c>
    </row>
    <row r="297" spans="2:16" x14ac:dyDescent="0.2">
      <c r="B297" s="29" t="s">
        <v>170</v>
      </c>
      <c r="C297" s="6">
        <v>47</v>
      </c>
      <c r="D297" s="6" t="s">
        <v>171</v>
      </c>
      <c r="E297" s="6" t="s">
        <v>39</v>
      </c>
      <c r="F297" s="6" t="s">
        <v>34</v>
      </c>
      <c r="G297" s="6" t="s">
        <v>17</v>
      </c>
      <c r="H297" s="6">
        <v>2</v>
      </c>
      <c r="I297" s="6" t="s">
        <v>36</v>
      </c>
      <c r="J297" s="18">
        <v>59954</v>
      </c>
      <c r="K297" s="18">
        <f>J297</f>
        <v>59954</v>
      </c>
      <c r="L297" s="6"/>
      <c r="M297" s="7" t="s">
        <v>178</v>
      </c>
      <c r="N297" s="8" t="s">
        <v>177</v>
      </c>
      <c r="O297" s="58"/>
      <c r="P297" s="30">
        <v>179060.09869878064</v>
      </c>
    </row>
    <row r="298" spans="2:16" x14ac:dyDescent="0.2">
      <c r="B298" s="29" t="s">
        <v>170</v>
      </c>
      <c r="C298" s="6">
        <v>47</v>
      </c>
      <c r="D298" s="6" t="s">
        <v>171</v>
      </c>
      <c r="E298" s="6" t="s">
        <v>39</v>
      </c>
      <c r="F298" s="6" t="s">
        <v>37</v>
      </c>
      <c r="G298" s="6" t="s">
        <v>18</v>
      </c>
      <c r="H298" s="6">
        <v>2000</v>
      </c>
      <c r="I298" s="6" t="s">
        <v>46</v>
      </c>
      <c r="J298" s="18">
        <v>3350000</v>
      </c>
      <c r="K298" s="18">
        <f>J298</f>
        <v>3350000</v>
      </c>
      <c r="L298" s="6"/>
      <c r="M298" s="7" t="s">
        <v>47</v>
      </c>
      <c r="N298" s="8" t="s">
        <v>179</v>
      </c>
      <c r="O298" s="58"/>
      <c r="P298" s="30">
        <v>22399685.429510206</v>
      </c>
    </row>
    <row r="299" spans="2:16" x14ac:dyDescent="0.2">
      <c r="B299" s="29" t="s">
        <v>170</v>
      </c>
      <c r="C299" s="6">
        <v>47</v>
      </c>
      <c r="D299" s="6" t="s">
        <v>171</v>
      </c>
      <c r="E299" s="6" t="s">
        <v>39</v>
      </c>
      <c r="F299" s="6" t="s">
        <v>37</v>
      </c>
      <c r="G299" s="6" t="s">
        <v>17</v>
      </c>
      <c r="H299" s="6">
        <v>1800</v>
      </c>
      <c r="I299" s="6" t="s">
        <v>46</v>
      </c>
      <c r="J299" s="18">
        <v>2950000</v>
      </c>
      <c r="K299" s="18">
        <f>J299</f>
        <v>2950000</v>
      </c>
      <c r="L299" s="6"/>
      <c r="M299" s="7" t="s">
        <v>47</v>
      </c>
      <c r="N299" s="8" t="s">
        <v>180</v>
      </c>
      <c r="O299" s="58"/>
      <c r="P299" s="30">
        <v>4405271.4678036738</v>
      </c>
    </row>
    <row r="300" spans="2:16" x14ac:dyDescent="0.2">
      <c r="B300" s="29" t="s">
        <v>170</v>
      </c>
      <c r="C300" s="6">
        <v>47</v>
      </c>
      <c r="D300" s="6" t="s">
        <v>171</v>
      </c>
      <c r="E300" s="6" t="s">
        <v>39</v>
      </c>
      <c r="F300" s="6" t="s">
        <v>37</v>
      </c>
      <c r="G300" s="6" t="s">
        <v>17</v>
      </c>
      <c r="H300" s="6">
        <v>1800</v>
      </c>
      <c r="I300" s="6" t="s">
        <v>46</v>
      </c>
      <c r="J300" s="18">
        <v>2950000</v>
      </c>
      <c r="K300" s="18">
        <f>J300</f>
        <v>2950000</v>
      </c>
      <c r="L300" s="6"/>
      <c r="M300" s="7" t="s">
        <v>47</v>
      </c>
      <c r="N300" s="8" t="s">
        <v>181</v>
      </c>
      <c r="O300" s="58"/>
      <c r="P300" s="30">
        <v>4405271.4678036738</v>
      </c>
    </row>
    <row r="301" spans="2:16" ht="15.75" x14ac:dyDescent="0.3">
      <c r="B301" s="29" t="s">
        <v>170</v>
      </c>
      <c r="C301" s="6">
        <v>47</v>
      </c>
      <c r="D301" s="6" t="s">
        <v>171</v>
      </c>
      <c r="E301" s="6" t="s">
        <v>39</v>
      </c>
      <c r="F301" s="6" t="s">
        <v>37</v>
      </c>
      <c r="G301" s="6" t="s">
        <v>17</v>
      </c>
      <c r="H301" s="6">
        <v>1</v>
      </c>
      <c r="I301" s="6" t="s">
        <v>36</v>
      </c>
      <c r="J301" s="18">
        <v>133000</v>
      </c>
      <c r="K301" s="18">
        <f t="shared" ref="K301:K302" si="22">H301*J301</f>
        <v>133000</v>
      </c>
      <c r="L301" s="6"/>
      <c r="M301" s="7" t="s">
        <v>45</v>
      </c>
      <c r="N301" s="8" t="s">
        <v>189</v>
      </c>
      <c r="O301" s="58"/>
      <c r="P301" s="30">
        <v>231463.41610493878</v>
      </c>
    </row>
    <row r="302" spans="2:16" ht="15.75" x14ac:dyDescent="0.3">
      <c r="B302" s="29" t="s">
        <v>170</v>
      </c>
      <c r="C302" s="6">
        <v>47</v>
      </c>
      <c r="D302" s="6" t="s">
        <v>171</v>
      </c>
      <c r="E302" s="6" t="s">
        <v>39</v>
      </c>
      <c r="F302" s="6" t="s">
        <v>37</v>
      </c>
      <c r="G302" s="6" t="s">
        <v>17</v>
      </c>
      <c r="H302" s="6">
        <v>1</v>
      </c>
      <c r="I302" s="6" t="s">
        <v>36</v>
      </c>
      <c r="J302" s="18">
        <v>107000</v>
      </c>
      <c r="K302" s="18">
        <f t="shared" si="22"/>
        <v>107000</v>
      </c>
      <c r="L302" s="6"/>
      <c r="M302" s="7" t="s">
        <v>45</v>
      </c>
      <c r="N302" s="8" t="s">
        <v>193</v>
      </c>
      <c r="O302" s="58"/>
      <c r="P302" s="30">
        <v>191143.98233182041</v>
      </c>
    </row>
    <row r="303" spans="2:16" x14ac:dyDescent="0.2">
      <c r="B303" s="29" t="s">
        <v>170</v>
      </c>
      <c r="C303" s="6">
        <v>47</v>
      </c>
      <c r="D303" s="6" t="s">
        <v>171</v>
      </c>
      <c r="E303" s="6" t="s">
        <v>39</v>
      </c>
      <c r="F303" s="6" t="s">
        <v>37</v>
      </c>
      <c r="G303" s="6" t="s">
        <v>17</v>
      </c>
      <c r="H303" s="6">
        <v>2</v>
      </c>
      <c r="I303" s="6" t="s">
        <v>36</v>
      </c>
      <c r="J303" s="18">
        <f>315*3403.5</f>
        <v>1072102.5</v>
      </c>
      <c r="K303" s="18">
        <f t="shared" ref="K303:K304" si="23">H303*J303</f>
        <v>2144205</v>
      </c>
      <c r="L303" s="6"/>
      <c r="M303" s="7" t="s">
        <v>50</v>
      </c>
      <c r="N303" s="8" t="s">
        <v>251</v>
      </c>
      <c r="O303" s="58" t="s">
        <v>299</v>
      </c>
      <c r="P303" s="30">
        <v>3201967.833092195</v>
      </c>
    </row>
    <row r="304" spans="2:16" x14ac:dyDescent="0.2">
      <c r="B304" s="29" t="s">
        <v>170</v>
      </c>
      <c r="C304" s="6">
        <v>47</v>
      </c>
      <c r="D304" s="6" t="s">
        <v>171</v>
      </c>
      <c r="E304" s="6" t="s">
        <v>39</v>
      </c>
      <c r="F304" s="6" t="s">
        <v>37</v>
      </c>
      <c r="G304" s="6" t="s">
        <v>17</v>
      </c>
      <c r="H304" s="6">
        <v>2</v>
      </c>
      <c r="I304" s="6" t="s">
        <v>36</v>
      </c>
      <c r="J304" s="18">
        <f>3591*315</f>
        <v>1131165</v>
      </c>
      <c r="K304" s="18">
        <f t="shared" si="23"/>
        <v>2262330</v>
      </c>
      <c r="L304" s="6"/>
      <c r="M304" s="7" t="s">
        <v>51</v>
      </c>
      <c r="N304" s="8" t="s">
        <v>260</v>
      </c>
      <c r="O304" s="58" t="s">
        <v>300</v>
      </c>
      <c r="P304" s="30">
        <v>3378365.3558495878</v>
      </c>
    </row>
    <row r="305" spans="2:16" x14ac:dyDescent="0.2">
      <c r="B305" s="29" t="s">
        <v>170</v>
      </c>
      <c r="C305" s="6">
        <v>47</v>
      </c>
      <c r="D305" s="6" t="s">
        <v>171</v>
      </c>
      <c r="E305" s="6" t="s">
        <v>39</v>
      </c>
      <c r="F305" s="6" t="s">
        <v>37</v>
      </c>
      <c r="G305" s="6" t="s">
        <v>17</v>
      </c>
      <c r="H305" s="6">
        <v>2</v>
      </c>
      <c r="I305" s="6" t="s">
        <v>36</v>
      </c>
      <c r="J305" s="18">
        <f>754*315</f>
        <v>237510</v>
      </c>
      <c r="K305" s="18">
        <f>H305*J305</f>
        <v>475020</v>
      </c>
      <c r="L305" s="6"/>
      <c r="M305" s="7" t="s">
        <v>52</v>
      </c>
      <c r="N305" s="8" t="s">
        <v>259</v>
      </c>
      <c r="O305" s="71" t="s">
        <v>301</v>
      </c>
      <c r="P305" s="30">
        <v>709353.2381817291</v>
      </c>
    </row>
    <row r="306" spans="2:16" x14ac:dyDescent="0.2">
      <c r="B306" s="29" t="s">
        <v>170</v>
      </c>
      <c r="C306" s="6">
        <v>47</v>
      </c>
      <c r="D306" s="6" t="s">
        <v>171</v>
      </c>
      <c r="E306" s="6" t="s">
        <v>39</v>
      </c>
      <c r="F306" s="6" t="s">
        <v>37</v>
      </c>
      <c r="G306" s="6" t="s">
        <v>17</v>
      </c>
      <c r="H306" s="6">
        <v>1</v>
      </c>
      <c r="I306" s="6" t="s">
        <v>36</v>
      </c>
      <c r="J306" s="18">
        <f>3850*315</f>
        <v>1212750</v>
      </c>
      <c r="K306" s="18">
        <f>H306*J306</f>
        <v>1212750</v>
      </c>
      <c r="L306" s="6"/>
      <c r="M306" s="7" t="s">
        <v>54</v>
      </c>
      <c r="N306" s="8" t="s">
        <v>303</v>
      </c>
      <c r="O306" s="58" t="s">
        <v>302</v>
      </c>
      <c r="P306" s="30">
        <v>1646376.879069</v>
      </c>
    </row>
    <row r="307" spans="2:16" x14ac:dyDescent="0.2">
      <c r="B307" s="29" t="s">
        <v>170</v>
      </c>
      <c r="C307" s="6">
        <v>47</v>
      </c>
      <c r="D307" s="6" t="s">
        <v>171</v>
      </c>
      <c r="E307" s="6" t="s">
        <v>39</v>
      </c>
      <c r="F307" s="6" t="s">
        <v>34</v>
      </c>
      <c r="G307" s="6" t="s">
        <v>17</v>
      </c>
      <c r="H307" s="6">
        <v>2</v>
      </c>
      <c r="I307" s="6" t="s">
        <v>36</v>
      </c>
      <c r="J307" s="18">
        <v>74771</v>
      </c>
      <c r="K307" s="18">
        <f>H307*J307</f>
        <v>149542</v>
      </c>
      <c r="L307" s="6"/>
      <c r="M307" s="7" t="s">
        <v>98</v>
      </c>
      <c r="N307" s="8" t="s">
        <v>182</v>
      </c>
      <c r="O307" s="58"/>
      <c r="P307" s="30">
        <v>223312.917233321</v>
      </c>
    </row>
    <row r="308" spans="2:16" x14ac:dyDescent="0.2">
      <c r="B308" s="29" t="s">
        <v>170</v>
      </c>
      <c r="C308" s="6">
        <v>47</v>
      </c>
      <c r="D308" s="6" t="s">
        <v>171</v>
      </c>
      <c r="E308" s="6" t="s">
        <v>39</v>
      </c>
      <c r="F308" s="6" t="s">
        <v>34</v>
      </c>
      <c r="G308" s="6" t="s">
        <v>17</v>
      </c>
      <c r="H308" s="6">
        <v>2</v>
      </c>
      <c r="I308" s="6" t="s">
        <v>36</v>
      </c>
      <c r="J308" s="18">
        <v>437129</v>
      </c>
      <c r="K308" s="18">
        <f t="shared" ref="K308:K311" si="24">H308*J308</f>
        <v>874258</v>
      </c>
      <c r="L308" s="6"/>
      <c r="M308" s="7" t="s">
        <v>59</v>
      </c>
      <c r="N308" s="8" t="s">
        <v>268</v>
      </c>
      <c r="O308" s="58" t="s">
        <v>304</v>
      </c>
      <c r="P308" s="30">
        <v>1305540.2789488488</v>
      </c>
    </row>
    <row r="309" spans="2:16" x14ac:dyDescent="0.2">
      <c r="B309" s="29" t="s">
        <v>170</v>
      </c>
      <c r="C309" s="6">
        <v>47</v>
      </c>
      <c r="D309" s="6" t="s">
        <v>171</v>
      </c>
      <c r="E309" s="6" t="s">
        <v>39</v>
      </c>
      <c r="F309" s="6" t="s">
        <v>34</v>
      </c>
      <c r="G309" s="6" t="s">
        <v>17</v>
      </c>
      <c r="H309" s="6">
        <v>2</v>
      </c>
      <c r="I309" s="6" t="s">
        <v>36</v>
      </c>
      <c r="J309" s="18">
        <v>156951</v>
      </c>
      <c r="K309" s="18">
        <f t="shared" si="24"/>
        <v>313902</v>
      </c>
      <c r="L309" s="6"/>
      <c r="M309" s="7" t="s">
        <v>184</v>
      </c>
      <c r="N309" s="8" t="s">
        <v>183</v>
      </c>
      <c r="O309" s="58"/>
      <c r="P309" s="30">
        <v>468753.73704627412</v>
      </c>
    </row>
    <row r="310" spans="2:16" x14ac:dyDescent="0.2">
      <c r="B310" s="29" t="s">
        <v>170</v>
      </c>
      <c r="C310" s="6">
        <v>47</v>
      </c>
      <c r="D310" s="6" t="s">
        <v>171</v>
      </c>
      <c r="E310" s="6" t="s">
        <v>39</v>
      </c>
      <c r="F310" s="6" t="s">
        <v>34</v>
      </c>
      <c r="G310" s="6" t="s">
        <v>17</v>
      </c>
      <c r="H310" s="6">
        <v>2</v>
      </c>
      <c r="I310" s="6" t="s">
        <v>36</v>
      </c>
      <c r="J310" s="18">
        <v>156951</v>
      </c>
      <c r="K310" s="18">
        <f t="shared" si="24"/>
        <v>313902</v>
      </c>
      <c r="L310" s="6"/>
      <c r="M310" s="7" t="s">
        <v>172</v>
      </c>
      <c r="N310" s="8" t="s">
        <v>185</v>
      </c>
      <c r="O310" s="58"/>
      <c r="P310" s="30">
        <v>468753.73704627412</v>
      </c>
    </row>
    <row r="311" spans="2:16" x14ac:dyDescent="0.2">
      <c r="B311" s="29" t="s">
        <v>170</v>
      </c>
      <c r="C311" s="6">
        <v>47</v>
      </c>
      <c r="D311" s="6" t="s">
        <v>171</v>
      </c>
      <c r="E311" s="6" t="s">
        <v>39</v>
      </c>
      <c r="F311" s="6" t="s">
        <v>34</v>
      </c>
      <c r="G311" s="6" t="s">
        <v>17</v>
      </c>
      <c r="H311" s="6">
        <v>3</v>
      </c>
      <c r="I311" s="6" t="s">
        <v>36</v>
      </c>
      <c r="J311" s="18">
        <v>81469</v>
      </c>
      <c r="K311" s="18">
        <f t="shared" si="24"/>
        <v>244407</v>
      </c>
      <c r="L311" s="6"/>
      <c r="M311" s="7" t="s">
        <v>97</v>
      </c>
      <c r="N311" s="8" t="s">
        <v>159</v>
      </c>
      <c r="O311" s="58" t="s">
        <v>305</v>
      </c>
      <c r="P311" s="30">
        <v>364975.99445135338</v>
      </c>
    </row>
    <row r="312" spans="2:16" x14ac:dyDescent="0.2">
      <c r="B312" s="29" t="s">
        <v>170</v>
      </c>
      <c r="C312" s="6">
        <v>47</v>
      </c>
      <c r="D312" s="6" t="s">
        <v>171</v>
      </c>
      <c r="E312" s="6" t="s">
        <v>15</v>
      </c>
      <c r="F312" s="6" t="s">
        <v>37</v>
      </c>
      <c r="G312" s="6" t="s">
        <v>17</v>
      </c>
      <c r="H312" s="4">
        <f>6+2</f>
        <v>8</v>
      </c>
      <c r="I312" s="6" t="s">
        <v>36</v>
      </c>
      <c r="J312" s="18">
        <v>27495</v>
      </c>
      <c r="K312" s="18">
        <f>H312*J312</f>
        <v>219960</v>
      </c>
      <c r="L312" s="6"/>
      <c r="M312" s="7" t="s">
        <v>129</v>
      </c>
      <c r="N312" s="12" t="s">
        <v>67</v>
      </c>
      <c r="O312" s="64"/>
      <c r="P312" s="30">
        <v>329185.77707208198</v>
      </c>
    </row>
    <row r="313" spans="2:16" x14ac:dyDescent="0.2">
      <c r="B313" s="29" t="s">
        <v>170</v>
      </c>
      <c r="C313" s="6">
        <v>47</v>
      </c>
      <c r="D313" s="6" t="s">
        <v>171</v>
      </c>
      <c r="E313" s="6" t="s">
        <v>15</v>
      </c>
      <c r="F313" s="6" t="s">
        <v>37</v>
      </c>
      <c r="G313" s="6" t="s">
        <v>17</v>
      </c>
      <c r="H313" s="4">
        <v>4</v>
      </c>
      <c r="I313" s="6" t="s">
        <v>36</v>
      </c>
      <c r="J313" s="18">
        <v>32948</v>
      </c>
      <c r="K313" s="18">
        <f>H313*J313</f>
        <v>131792</v>
      </c>
      <c r="L313" s="6"/>
      <c r="M313" s="7" t="s">
        <v>129</v>
      </c>
      <c r="N313" s="12" t="s">
        <v>62</v>
      </c>
      <c r="O313" s="64"/>
      <c r="P313" s="30">
        <v>185272.27812456479</v>
      </c>
    </row>
    <row r="314" spans="2:16" x14ac:dyDescent="0.2">
      <c r="B314" s="29" t="s">
        <v>170</v>
      </c>
      <c r="C314" s="6">
        <v>47</v>
      </c>
      <c r="D314" s="6" t="s">
        <v>171</v>
      </c>
      <c r="E314" s="6" t="s">
        <v>15</v>
      </c>
      <c r="F314" s="6" t="s">
        <v>37</v>
      </c>
      <c r="G314" s="6" t="s">
        <v>17</v>
      </c>
      <c r="H314" s="4">
        <v>2</v>
      </c>
      <c r="I314" s="6" t="s">
        <v>36</v>
      </c>
      <c r="J314" s="18">
        <v>76350</v>
      </c>
      <c r="K314" s="18">
        <f>H314*J314</f>
        <v>152700</v>
      </c>
      <c r="L314" s="6"/>
      <c r="M314" s="7" t="s">
        <v>129</v>
      </c>
      <c r="N314" s="12" t="s">
        <v>64</v>
      </c>
      <c r="O314" s="64"/>
      <c r="P314" s="30">
        <v>242355.6364731286</v>
      </c>
    </row>
    <row r="315" spans="2:16" x14ac:dyDescent="0.2">
      <c r="B315" s="29" t="s">
        <v>170</v>
      </c>
      <c r="C315" s="6">
        <v>47</v>
      </c>
      <c r="D315" s="6" t="s">
        <v>171</v>
      </c>
      <c r="E315" s="6" t="s">
        <v>15</v>
      </c>
      <c r="F315" s="6" t="s">
        <v>37</v>
      </c>
      <c r="G315" s="6" t="s">
        <v>17</v>
      </c>
      <c r="H315" s="4">
        <v>2</v>
      </c>
      <c r="I315" s="6" t="s">
        <v>36</v>
      </c>
      <c r="J315" s="18"/>
      <c r="K315" s="18"/>
      <c r="L315" s="6"/>
      <c r="M315" s="7" t="s">
        <v>129</v>
      </c>
      <c r="N315" s="12" t="s">
        <v>131</v>
      </c>
      <c r="O315" s="64"/>
      <c r="P315" s="30">
        <v>549840.59830110113</v>
      </c>
    </row>
    <row r="316" spans="2:16" x14ac:dyDescent="0.2">
      <c r="B316" s="29" t="s">
        <v>170</v>
      </c>
      <c r="C316" s="6">
        <v>47</v>
      </c>
      <c r="D316" s="6" t="s">
        <v>171</v>
      </c>
      <c r="E316" s="6" t="s">
        <v>39</v>
      </c>
      <c r="F316" s="6" t="s">
        <v>37</v>
      </c>
      <c r="G316" s="6" t="s">
        <v>17</v>
      </c>
      <c r="H316" s="4">
        <v>16</v>
      </c>
      <c r="I316" s="6" t="s">
        <v>36</v>
      </c>
      <c r="J316" s="18">
        <v>8126</v>
      </c>
      <c r="K316" s="18">
        <f t="shared" ref="K316:K321" si="25">H316*J316</f>
        <v>130016</v>
      </c>
      <c r="L316" s="6"/>
      <c r="M316" s="12" t="s">
        <v>61</v>
      </c>
      <c r="N316" s="12" t="s">
        <v>102</v>
      </c>
      <c r="O316" s="64"/>
      <c r="P316" s="30">
        <v>194154.5000535466</v>
      </c>
    </row>
    <row r="317" spans="2:16" x14ac:dyDescent="0.2">
      <c r="B317" s="29" t="s">
        <v>170</v>
      </c>
      <c r="C317" s="6">
        <v>47</v>
      </c>
      <c r="D317" s="6" t="s">
        <v>171</v>
      </c>
      <c r="E317" s="6" t="s">
        <v>39</v>
      </c>
      <c r="F317" s="6" t="s">
        <v>37</v>
      </c>
      <c r="G317" s="6" t="s">
        <v>17</v>
      </c>
      <c r="H317" s="4">
        <v>3</v>
      </c>
      <c r="I317" s="6" t="s">
        <v>36</v>
      </c>
      <c r="J317" s="18">
        <v>10820</v>
      </c>
      <c r="K317" s="18">
        <f t="shared" si="25"/>
        <v>32460</v>
      </c>
      <c r="L317" s="6"/>
      <c r="M317" s="12" t="s">
        <v>61</v>
      </c>
      <c r="N317" s="12" t="s">
        <v>101</v>
      </c>
      <c r="O317" s="64"/>
      <c r="P317" s="30">
        <v>41201.98137904107</v>
      </c>
    </row>
    <row r="318" spans="2:16" x14ac:dyDescent="0.2">
      <c r="B318" s="29" t="s">
        <v>170</v>
      </c>
      <c r="C318" s="6">
        <v>47</v>
      </c>
      <c r="D318" s="6" t="s">
        <v>171</v>
      </c>
      <c r="E318" s="6" t="s">
        <v>39</v>
      </c>
      <c r="F318" s="6" t="s">
        <v>37</v>
      </c>
      <c r="G318" s="6" t="s">
        <v>17</v>
      </c>
      <c r="H318" s="4">
        <v>9</v>
      </c>
      <c r="I318" s="6" t="s">
        <v>36</v>
      </c>
      <c r="J318" s="18">
        <v>10693</v>
      </c>
      <c r="K318" s="18">
        <f t="shared" si="25"/>
        <v>96237</v>
      </c>
      <c r="L318" s="6"/>
      <c r="M318" s="12" t="s">
        <v>61</v>
      </c>
      <c r="N318" s="12" t="s">
        <v>67</v>
      </c>
      <c r="O318" s="64"/>
      <c r="P318" s="30">
        <v>143711.90177865158</v>
      </c>
    </row>
    <row r="319" spans="2:16" x14ac:dyDescent="0.2">
      <c r="B319" s="29" t="s">
        <v>170</v>
      </c>
      <c r="C319" s="6">
        <v>47</v>
      </c>
      <c r="D319" s="6" t="s">
        <v>171</v>
      </c>
      <c r="E319" s="6" t="s">
        <v>39</v>
      </c>
      <c r="F319" s="6" t="s">
        <v>37</v>
      </c>
      <c r="G319" s="6" t="s">
        <v>17</v>
      </c>
      <c r="H319" s="4">
        <v>37</v>
      </c>
      <c r="I319" s="6" t="s">
        <v>36</v>
      </c>
      <c r="J319" s="18">
        <v>15394</v>
      </c>
      <c r="K319" s="18">
        <f t="shared" si="25"/>
        <v>569578</v>
      </c>
      <c r="L319" s="6"/>
      <c r="M319" s="12" t="s">
        <v>61</v>
      </c>
      <c r="N319" s="12" t="s">
        <v>62</v>
      </c>
      <c r="O319" s="64"/>
      <c r="P319" s="30">
        <v>850557.8685046375</v>
      </c>
    </row>
    <row r="320" spans="2:16" x14ac:dyDescent="0.2">
      <c r="B320" s="29" t="s">
        <v>170</v>
      </c>
      <c r="C320" s="6">
        <v>47</v>
      </c>
      <c r="D320" s="6" t="s">
        <v>171</v>
      </c>
      <c r="E320" s="6" t="s">
        <v>39</v>
      </c>
      <c r="F320" s="6" t="s">
        <v>34</v>
      </c>
      <c r="G320" s="6" t="s">
        <v>17</v>
      </c>
      <c r="H320" s="4">
        <v>3</v>
      </c>
      <c r="I320" s="6" t="s">
        <v>36</v>
      </c>
      <c r="J320" s="18">
        <v>93288</v>
      </c>
      <c r="K320" s="18">
        <f t="shared" si="25"/>
        <v>279864</v>
      </c>
      <c r="L320" s="6"/>
      <c r="M320" s="7" t="s">
        <v>65</v>
      </c>
      <c r="N320" s="7" t="s">
        <v>67</v>
      </c>
      <c r="O320" s="67"/>
      <c r="P320" s="30">
        <v>417924.37086962961</v>
      </c>
    </row>
    <row r="321" spans="2:16" x14ac:dyDescent="0.2">
      <c r="B321" s="29" t="s">
        <v>170</v>
      </c>
      <c r="C321" s="6">
        <v>47</v>
      </c>
      <c r="D321" s="6" t="s">
        <v>171</v>
      </c>
      <c r="E321" s="6" t="s">
        <v>39</v>
      </c>
      <c r="F321" s="6" t="s">
        <v>34</v>
      </c>
      <c r="G321" s="6" t="s">
        <v>17</v>
      </c>
      <c r="H321" s="4">
        <v>22</v>
      </c>
      <c r="I321" s="6" t="s">
        <v>36</v>
      </c>
      <c r="J321" s="18">
        <v>93664</v>
      </c>
      <c r="K321" s="18">
        <f t="shared" si="25"/>
        <v>2060608</v>
      </c>
      <c r="L321" s="6"/>
      <c r="M321" s="7" t="s">
        <v>65</v>
      </c>
      <c r="N321" s="7" t="s">
        <v>62</v>
      </c>
      <c r="O321" s="67"/>
      <c r="P321" s="30">
        <v>3077131.3995688111</v>
      </c>
    </row>
    <row r="322" spans="2:16" x14ac:dyDescent="0.2">
      <c r="B322" s="29" t="s">
        <v>170</v>
      </c>
      <c r="C322" s="6">
        <v>47</v>
      </c>
      <c r="D322" s="6" t="s">
        <v>171</v>
      </c>
      <c r="E322" s="6" t="s">
        <v>39</v>
      </c>
      <c r="F322" s="6" t="s">
        <v>37</v>
      </c>
      <c r="G322" s="6" t="s">
        <v>17</v>
      </c>
      <c r="H322" s="4">
        <v>2</v>
      </c>
      <c r="I322" s="6" t="s">
        <v>36</v>
      </c>
      <c r="J322" s="18">
        <f>17921</f>
        <v>17921</v>
      </c>
      <c r="K322" s="18">
        <f>H322*J322</f>
        <v>35842</v>
      </c>
      <c r="L322" s="6"/>
      <c r="M322" s="7" t="s">
        <v>105</v>
      </c>
      <c r="N322" s="7" t="s">
        <v>67</v>
      </c>
      <c r="O322" s="67"/>
      <c r="P322" s="30">
        <v>53523.301677633652</v>
      </c>
    </row>
    <row r="323" spans="2:16" x14ac:dyDescent="0.2">
      <c r="B323" s="29" t="s">
        <v>170</v>
      </c>
      <c r="C323" s="6">
        <v>47</v>
      </c>
      <c r="D323" s="6" t="s">
        <v>171</v>
      </c>
      <c r="E323" s="6" t="s">
        <v>39</v>
      </c>
      <c r="F323" s="6" t="s">
        <v>37</v>
      </c>
      <c r="G323" s="6" t="s">
        <v>17</v>
      </c>
      <c r="H323" s="4">
        <v>2</v>
      </c>
      <c r="I323" s="6" t="s">
        <v>36</v>
      </c>
      <c r="J323" s="18">
        <v>13372</v>
      </c>
      <c r="K323" s="18">
        <f>J323*H323</f>
        <v>26744</v>
      </c>
      <c r="L323" s="6"/>
      <c r="M323" s="7" t="s">
        <v>105</v>
      </c>
      <c r="N323" s="7" t="s">
        <v>102</v>
      </c>
      <c r="O323" s="67"/>
      <c r="P323" s="30">
        <v>39937.145808454727</v>
      </c>
    </row>
    <row r="324" spans="2:16" x14ac:dyDescent="0.2">
      <c r="B324" s="29" t="s">
        <v>170</v>
      </c>
      <c r="C324" s="6">
        <v>47</v>
      </c>
      <c r="D324" s="6" t="s">
        <v>171</v>
      </c>
      <c r="E324" s="6" t="s">
        <v>39</v>
      </c>
      <c r="F324" s="6" t="s">
        <v>37</v>
      </c>
      <c r="G324" s="6" t="s">
        <v>17</v>
      </c>
      <c r="H324" s="4">
        <v>5</v>
      </c>
      <c r="I324" s="6" t="s">
        <v>36</v>
      </c>
      <c r="J324" s="18">
        <v>13372</v>
      </c>
      <c r="K324" s="18">
        <f>J324*H324</f>
        <v>66860</v>
      </c>
      <c r="L324" s="6"/>
      <c r="M324" s="7" t="s">
        <v>186</v>
      </c>
      <c r="N324" s="7" t="s">
        <v>102</v>
      </c>
      <c r="O324" s="67"/>
      <c r="P324" s="30">
        <v>44593.293753068916</v>
      </c>
    </row>
    <row r="325" spans="2:16" x14ac:dyDescent="0.2">
      <c r="B325" s="29" t="s">
        <v>170</v>
      </c>
      <c r="C325" s="6">
        <v>47</v>
      </c>
      <c r="D325" s="6" t="s">
        <v>171</v>
      </c>
      <c r="E325" s="6" t="s">
        <v>39</v>
      </c>
      <c r="F325" s="6" t="s">
        <v>37</v>
      </c>
      <c r="G325" s="6" t="s">
        <v>17</v>
      </c>
      <c r="H325" s="6">
        <v>1</v>
      </c>
      <c r="I325" s="6" t="s">
        <v>36</v>
      </c>
      <c r="J325" s="18">
        <v>410000</v>
      </c>
      <c r="K325" s="18">
        <f>H325*J325</f>
        <v>410000</v>
      </c>
      <c r="L325" s="6"/>
      <c r="M325" s="7" t="s">
        <v>106</v>
      </c>
      <c r="N325" s="8" t="s">
        <v>134</v>
      </c>
      <c r="O325" s="58"/>
      <c r="P325" s="30">
        <v>612452.199013668</v>
      </c>
    </row>
    <row r="326" spans="2:16" x14ac:dyDescent="0.2">
      <c r="B326" s="29" t="s">
        <v>170</v>
      </c>
      <c r="C326" s="6">
        <v>47</v>
      </c>
      <c r="D326" s="6" t="s">
        <v>171</v>
      </c>
      <c r="E326" s="6" t="s">
        <v>39</v>
      </c>
      <c r="F326" s="6" t="s">
        <v>37</v>
      </c>
      <c r="G326" s="6" t="s">
        <v>17</v>
      </c>
      <c r="H326" s="4">
        <v>3</v>
      </c>
      <c r="I326" s="6" t="s">
        <v>36</v>
      </c>
      <c r="J326" s="18">
        <v>78740</v>
      </c>
      <c r="K326" s="18">
        <f t="shared" ref="K326:K328" si="26">H326*J326</f>
        <v>236220</v>
      </c>
      <c r="L326" s="6"/>
      <c r="M326" s="7" t="s">
        <v>231</v>
      </c>
      <c r="N326" s="7" t="s">
        <v>102</v>
      </c>
      <c r="O326" s="67"/>
      <c r="P326" s="30">
        <v>352750.24614392669</v>
      </c>
    </row>
    <row r="327" spans="2:16" x14ac:dyDescent="0.2">
      <c r="B327" s="29" t="s">
        <v>170</v>
      </c>
      <c r="C327" s="6">
        <v>47</v>
      </c>
      <c r="D327" s="6" t="s">
        <v>171</v>
      </c>
      <c r="E327" s="6" t="s">
        <v>39</v>
      </c>
      <c r="F327" s="6" t="s">
        <v>37</v>
      </c>
      <c r="G327" s="6" t="s">
        <v>17</v>
      </c>
      <c r="H327" s="4">
        <v>2</v>
      </c>
      <c r="I327" s="6" t="s">
        <v>36</v>
      </c>
      <c r="J327" s="18">
        <v>94450</v>
      </c>
      <c r="K327" s="18">
        <f t="shared" si="26"/>
        <v>188900</v>
      </c>
      <c r="L327" s="6"/>
      <c r="M327" s="7" t="s">
        <v>231</v>
      </c>
      <c r="N327" s="7" t="s">
        <v>67</v>
      </c>
      <c r="O327" s="67"/>
      <c r="P327" s="30">
        <v>282086.70517563185</v>
      </c>
    </row>
    <row r="328" spans="2:16" x14ac:dyDescent="0.2">
      <c r="B328" s="29" t="s">
        <v>170</v>
      </c>
      <c r="C328" s="6">
        <v>47</v>
      </c>
      <c r="D328" s="6" t="s">
        <v>171</v>
      </c>
      <c r="E328" s="6" t="s">
        <v>39</v>
      </c>
      <c r="F328" s="6" t="s">
        <v>37</v>
      </c>
      <c r="G328" s="6" t="s">
        <v>17</v>
      </c>
      <c r="H328" s="4">
        <v>1</v>
      </c>
      <c r="I328" s="6" t="s">
        <v>36</v>
      </c>
      <c r="J328" s="18">
        <v>108190</v>
      </c>
      <c r="K328" s="18">
        <f t="shared" si="26"/>
        <v>108190</v>
      </c>
      <c r="L328" s="6"/>
      <c r="M328" s="7" t="s">
        <v>231</v>
      </c>
      <c r="N328" s="7" t="s">
        <v>62</v>
      </c>
      <c r="O328" s="67"/>
      <c r="P328" s="30">
        <v>161561.46444124726</v>
      </c>
    </row>
    <row r="329" spans="2:16" x14ac:dyDescent="0.2">
      <c r="B329" s="29" t="s">
        <v>170</v>
      </c>
      <c r="C329" s="6">
        <v>47</v>
      </c>
      <c r="D329" s="6" t="s">
        <v>171</v>
      </c>
      <c r="E329" s="6" t="s">
        <v>39</v>
      </c>
      <c r="F329" s="6" t="s">
        <v>37</v>
      </c>
      <c r="G329" s="6" t="s">
        <v>17</v>
      </c>
      <c r="H329" s="4">
        <v>3</v>
      </c>
      <c r="I329" s="6" t="s">
        <v>36</v>
      </c>
      <c r="J329" s="18"/>
      <c r="K329" s="18"/>
      <c r="L329" s="6"/>
      <c r="M329" s="7" t="s">
        <v>169</v>
      </c>
      <c r="N329" s="8" t="s">
        <v>167</v>
      </c>
      <c r="O329" s="58"/>
      <c r="P329" s="30">
        <v>1080336.8282652772</v>
      </c>
    </row>
    <row r="330" spans="2:16" x14ac:dyDescent="0.2">
      <c r="B330" s="29" t="s">
        <v>170</v>
      </c>
      <c r="C330" s="6">
        <v>47</v>
      </c>
      <c r="D330" s="6" t="s">
        <v>171</v>
      </c>
      <c r="E330" s="6" t="s">
        <v>39</v>
      </c>
      <c r="F330" s="6" t="s">
        <v>37</v>
      </c>
      <c r="G330" s="6" t="s">
        <v>17</v>
      </c>
      <c r="H330" s="4">
        <v>1</v>
      </c>
      <c r="I330" s="6" t="s">
        <v>36</v>
      </c>
      <c r="J330" s="18"/>
      <c r="K330" s="18"/>
      <c r="L330" s="6"/>
      <c r="M330" s="7" t="s">
        <v>169</v>
      </c>
      <c r="N330" s="8" t="s">
        <v>187</v>
      </c>
      <c r="O330" s="58"/>
      <c r="P330" s="30">
        <v>305755.70611281431</v>
      </c>
    </row>
    <row r="331" spans="2:16" x14ac:dyDescent="0.2">
      <c r="B331" s="29" t="s">
        <v>170</v>
      </c>
      <c r="C331" s="6">
        <v>47</v>
      </c>
      <c r="D331" s="6" t="s">
        <v>171</v>
      </c>
      <c r="E331" s="6" t="s">
        <v>15</v>
      </c>
      <c r="F331" s="6" t="s">
        <v>71</v>
      </c>
      <c r="G331" s="6" t="s">
        <v>17</v>
      </c>
      <c r="H331" s="6">
        <v>10</v>
      </c>
      <c r="I331" s="6" t="s">
        <v>241</v>
      </c>
      <c r="J331" s="18"/>
      <c r="K331" s="18"/>
      <c r="L331" s="6"/>
      <c r="M331" s="7" t="s">
        <v>73</v>
      </c>
      <c r="N331" s="8"/>
      <c r="O331" s="58"/>
      <c r="P331" s="30">
        <v>4797259.0935832364</v>
      </c>
    </row>
    <row r="332" spans="2:16" x14ac:dyDescent="0.2">
      <c r="B332" s="29" t="s">
        <v>170</v>
      </c>
      <c r="C332" s="6">
        <v>47</v>
      </c>
      <c r="D332" s="6" t="s">
        <v>171</v>
      </c>
      <c r="E332" s="6" t="s">
        <v>15</v>
      </c>
      <c r="F332" s="6" t="s">
        <v>72</v>
      </c>
      <c r="G332" s="6" t="s">
        <v>17</v>
      </c>
      <c r="H332" s="6">
        <v>52</v>
      </c>
      <c r="I332" s="6" t="s">
        <v>36</v>
      </c>
      <c r="J332" s="18"/>
      <c r="K332" s="18">
        <f>2463258</f>
        <v>2463258</v>
      </c>
      <c r="L332" s="6"/>
      <c r="M332" s="7" t="s">
        <v>75</v>
      </c>
      <c r="N332" s="8"/>
      <c r="O332" s="58"/>
      <c r="P332" s="30">
        <v>2398629.5467916182</v>
      </c>
    </row>
    <row r="333" spans="2:16" x14ac:dyDescent="0.2">
      <c r="B333" s="29" t="s">
        <v>170</v>
      </c>
      <c r="C333" s="6">
        <v>47</v>
      </c>
      <c r="D333" s="6" t="s">
        <v>171</v>
      </c>
      <c r="E333" s="6" t="s">
        <v>15</v>
      </c>
      <c r="F333" s="6" t="s">
        <v>72</v>
      </c>
      <c r="G333" s="6" t="s">
        <v>17</v>
      </c>
      <c r="H333" s="6">
        <v>5</v>
      </c>
      <c r="I333" s="6" t="s">
        <v>241</v>
      </c>
      <c r="J333" s="18"/>
      <c r="K333" s="18"/>
      <c r="L333" s="6"/>
      <c r="M333" s="7" t="s">
        <v>74</v>
      </c>
      <c r="N333" s="8"/>
      <c r="O333" s="58"/>
      <c r="P333" s="30">
        <v>6396345.4581109826</v>
      </c>
    </row>
    <row r="334" spans="2:16" x14ac:dyDescent="0.2">
      <c r="B334" s="29" t="s">
        <v>170</v>
      </c>
      <c r="C334" s="6">
        <v>47</v>
      </c>
      <c r="D334" s="6" t="s">
        <v>171</v>
      </c>
      <c r="E334" s="6" t="s">
        <v>15</v>
      </c>
      <c r="F334" s="6" t="s">
        <v>72</v>
      </c>
      <c r="G334" s="6" t="s">
        <v>17</v>
      </c>
      <c r="H334" s="6">
        <v>1</v>
      </c>
      <c r="I334" s="6" t="s">
        <v>241</v>
      </c>
      <c r="J334" s="18"/>
      <c r="K334" s="18"/>
      <c r="L334" s="6"/>
      <c r="M334" s="7" t="s">
        <v>247</v>
      </c>
      <c r="N334" s="8" t="s">
        <v>272</v>
      </c>
      <c r="O334" s="58" t="s">
        <v>306</v>
      </c>
      <c r="P334" s="30">
        <v>6724251.1678263862</v>
      </c>
    </row>
    <row r="335" spans="2:16" x14ac:dyDescent="0.2">
      <c r="B335" s="29" t="s">
        <v>170</v>
      </c>
      <c r="C335" s="6">
        <v>47</v>
      </c>
      <c r="D335" s="6" t="s">
        <v>171</v>
      </c>
      <c r="E335" s="6" t="s">
        <v>15</v>
      </c>
      <c r="F335" s="6" t="s">
        <v>71</v>
      </c>
      <c r="G335" s="6" t="s">
        <v>17</v>
      </c>
      <c r="H335" s="6">
        <v>3</v>
      </c>
      <c r="I335" s="6" t="s">
        <v>241</v>
      </c>
      <c r="J335" s="18"/>
      <c r="K335" s="18"/>
      <c r="L335" s="6"/>
      <c r="M335" s="7" t="s">
        <v>76</v>
      </c>
      <c r="N335" s="8"/>
      <c r="O335" s="58"/>
      <c r="P335" s="30">
        <v>159908.63645277458</v>
      </c>
    </row>
    <row r="336" spans="2:16" x14ac:dyDescent="0.2">
      <c r="B336" s="29" t="s">
        <v>170</v>
      </c>
      <c r="C336" s="6">
        <v>47</v>
      </c>
      <c r="D336" s="6" t="s">
        <v>171</v>
      </c>
      <c r="E336" s="6" t="s">
        <v>15</v>
      </c>
      <c r="F336" s="6" t="s">
        <v>72</v>
      </c>
      <c r="G336" s="6" t="s">
        <v>17</v>
      </c>
      <c r="H336" s="6">
        <v>4</v>
      </c>
      <c r="I336" s="6" t="s">
        <v>241</v>
      </c>
      <c r="J336" s="18"/>
      <c r="K336" s="18"/>
      <c r="L336" s="6"/>
      <c r="M336" s="7" t="s">
        <v>77</v>
      </c>
      <c r="N336" s="8"/>
      <c r="O336" s="58"/>
      <c r="P336" s="30">
        <v>168027.50696856587</v>
      </c>
    </row>
    <row r="337" spans="2:16" x14ac:dyDescent="0.2">
      <c r="B337" s="29" t="s">
        <v>170</v>
      </c>
      <c r="C337" s="6">
        <v>47</v>
      </c>
      <c r="D337" s="6" t="s">
        <v>171</v>
      </c>
      <c r="E337" s="6" t="s">
        <v>15</v>
      </c>
      <c r="F337" s="6" t="s">
        <v>72</v>
      </c>
      <c r="G337" s="6" t="s">
        <v>17</v>
      </c>
      <c r="H337" s="6">
        <v>32</v>
      </c>
      <c r="I337" s="6" t="s">
        <v>241</v>
      </c>
      <c r="J337" s="18"/>
      <c r="K337" s="18"/>
      <c r="L337" s="6"/>
      <c r="M337" s="7" t="s">
        <v>78</v>
      </c>
      <c r="N337" s="8"/>
      <c r="O337" s="58"/>
      <c r="P337" s="30">
        <v>479725.90935832367</v>
      </c>
    </row>
    <row r="338" spans="2:16" x14ac:dyDescent="0.2">
      <c r="B338" s="29" t="s">
        <v>170</v>
      </c>
      <c r="C338" s="6">
        <v>47</v>
      </c>
      <c r="D338" s="6" t="s">
        <v>171</v>
      </c>
      <c r="E338" s="6" t="s">
        <v>15</v>
      </c>
      <c r="F338" s="6" t="s">
        <v>71</v>
      </c>
      <c r="G338" s="6" t="s">
        <v>17</v>
      </c>
      <c r="H338" s="6">
        <v>12</v>
      </c>
      <c r="I338" s="6" t="s">
        <v>241</v>
      </c>
      <c r="J338" s="18"/>
      <c r="K338" s="18"/>
      <c r="L338" s="6"/>
      <c r="M338" s="7" t="s">
        <v>79</v>
      </c>
      <c r="N338" s="8"/>
      <c r="O338" s="58"/>
      <c r="P338" s="30">
        <v>319817.27290554915</v>
      </c>
    </row>
    <row r="339" spans="2:16" x14ac:dyDescent="0.2">
      <c r="B339" s="29" t="s">
        <v>170</v>
      </c>
      <c r="C339" s="6">
        <v>47</v>
      </c>
      <c r="D339" s="6" t="s">
        <v>171</v>
      </c>
      <c r="E339" s="6" t="s">
        <v>15</v>
      </c>
      <c r="F339" s="6" t="s">
        <v>71</v>
      </c>
      <c r="G339" s="6" t="s">
        <v>17</v>
      </c>
      <c r="H339" s="6">
        <v>4</v>
      </c>
      <c r="I339" s="6" t="s">
        <v>241</v>
      </c>
      <c r="J339" s="18"/>
      <c r="K339" s="18"/>
      <c r="L339" s="6"/>
      <c r="M339" s="7" t="s">
        <v>80</v>
      </c>
      <c r="N339" s="8"/>
      <c r="O339" s="58"/>
      <c r="P339" s="30">
        <v>163704.3676806704</v>
      </c>
    </row>
    <row r="340" spans="2:16" x14ac:dyDescent="0.2">
      <c r="B340" s="29" t="s">
        <v>170</v>
      </c>
      <c r="C340" s="6">
        <v>47</v>
      </c>
      <c r="D340" s="6" t="s">
        <v>171</v>
      </c>
      <c r="E340" s="6" t="s">
        <v>15</v>
      </c>
      <c r="F340" s="6" t="s">
        <v>71</v>
      </c>
      <c r="G340" s="6" t="s">
        <v>17</v>
      </c>
      <c r="H340" s="6">
        <v>1</v>
      </c>
      <c r="I340" s="6" t="s">
        <v>241</v>
      </c>
      <c r="J340" s="18"/>
      <c r="K340" s="18"/>
      <c r="L340" s="6"/>
      <c r="M340" s="7" t="s">
        <v>81</v>
      </c>
      <c r="N340" s="8"/>
      <c r="O340" s="58"/>
      <c r="P340" s="30">
        <v>159908.63645277458</v>
      </c>
    </row>
    <row r="341" spans="2:16" x14ac:dyDescent="0.2">
      <c r="B341" s="29" t="s">
        <v>170</v>
      </c>
      <c r="C341" s="6">
        <v>47</v>
      </c>
      <c r="D341" s="6" t="s">
        <v>171</v>
      </c>
      <c r="E341" s="6" t="s">
        <v>15</v>
      </c>
      <c r="F341" s="6" t="s">
        <v>71</v>
      </c>
      <c r="G341" s="6" t="s">
        <v>17</v>
      </c>
      <c r="H341" s="6">
        <v>1</v>
      </c>
      <c r="I341" s="6" t="s">
        <v>241</v>
      </c>
      <c r="J341" s="18"/>
      <c r="K341" s="18"/>
      <c r="L341" s="6"/>
      <c r="M341" s="7" t="s">
        <v>82</v>
      </c>
      <c r="N341" s="8"/>
      <c r="O341" s="58"/>
      <c r="P341" s="30">
        <v>157496.66819197216</v>
      </c>
    </row>
    <row r="342" spans="2:16" x14ac:dyDescent="0.2">
      <c r="B342" s="29" t="s">
        <v>170</v>
      </c>
      <c r="C342" s="6">
        <v>47</v>
      </c>
      <c r="D342" s="6" t="s">
        <v>171</v>
      </c>
      <c r="E342" s="6" t="s">
        <v>15</v>
      </c>
      <c r="F342" s="6" t="s">
        <v>84</v>
      </c>
      <c r="G342" s="6" t="s">
        <v>17</v>
      </c>
      <c r="H342" s="6">
        <v>1</v>
      </c>
      <c r="I342" s="6" t="s">
        <v>36</v>
      </c>
      <c r="J342" s="18"/>
      <c r="K342" s="18"/>
      <c r="L342" s="6"/>
      <c r="M342" s="7" t="s">
        <v>83</v>
      </c>
      <c r="N342" s="8"/>
      <c r="O342" s="58"/>
      <c r="P342" s="30">
        <v>799543.18226387282</v>
      </c>
    </row>
    <row r="343" spans="2:16" customFormat="1" ht="15" x14ac:dyDescent="0.25">
      <c r="B343" s="29" t="s">
        <v>170</v>
      </c>
      <c r="C343" s="6">
        <v>47</v>
      </c>
      <c r="D343" s="6" t="s">
        <v>171</v>
      </c>
      <c r="E343" s="6" t="s">
        <v>15</v>
      </c>
      <c r="F343" s="15" t="s">
        <v>198</v>
      </c>
      <c r="G343" s="15" t="s">
        <v>17</v>
      </c>
      <c r="H343" s="4">
        <f>119.5+1+21.5+148+293.5+58.5+19+19+48.5</f>
        <v>728.5</v>
      </c>
      <c r="I343" s="15" t="s">
        <v>197</v>
      </c>
      <c r="J343" s="18">
        <v>5000</v>
      </c>
      <c r="K343" s="18">
        <f>H343*J343</f>
        <v>3642500</v>
      </c>
      <c r="L343" s="8"/>
      <c r="M343" s="9" t="s">
        <v>196</v>
      </c>
      <c r="N343" s="8"/>
      <c r="O343" s="58"/>
      <c r="P343" s="52">
        <v>11422044.607591119</v>
      </c>
    </row>
    <row r="344" spans="2:16" ht="15" thickBot="1" x14ac:dyDescent="0.25">
      <c r="B344" s="31" t="s">
        <v>170</v>
      </c>
      <c r="C344" s="32">
        <v>47</v>
      </c>
      <c r="D344" s="32" t="s">
        <v>171</v>
      </c>
      <c r="E344" s="32" t="s">
        <v>15</v>
      </c>
      <c r="F344" s="32" t="s">
        <v>225</v>
      </c>
      <c r="G344" s="32" t="s">
        <v>17</v>
      </c>
      <c r="H344" s="32">
        <v>76</v>
      </c>
      <c r="I344" s="32" t="s">
        <v>28</v>
      </c>
      <c r="J344" s="33">
        <v>15000</v>
      </c>
      <c r="K344" s="33">
        <f>H344*J344</f>
        <v>1140000</v>
      </c>
      <c r="L344" s="32"/>
      <c r="M344" s="34" t="s">
        <v>232</v>
      </c>
      <c r="N344" s="35"/>
      <c r="O344" s="60"/>
      <c r="P344" s="50">
        <v>4568820.5309986994</v>
      </c>
    </row>
    <row r="345" spans="2:16" ht="13.5" thickBot="1" x14ac:dyDescent="0.25">
      <c r="B345" s="76"/>
      <c r="C345" s="77"/>
      <c r="D345" s="77"/>
      <c r="E345" s="77"/>
      <c r="F345" s="77"/>
      <c r="G345" s="77"/>
      <c r="H345" s="77"/>
      <c r="I345" s="77"/>
      <c r="J345" s="77"/>
      <c r="K345" s="77"/>
      <c r="L345" s="77"/>
      <c r="M345" s="77"/>
      <c r="N345" s="77"/>
      <c r="O345" s="54" t="s">
        <v>246</v>
      </c>
      <c r="P345" s="87">
        <v>235626541.68692371</v>
      </c>
    </row>
    <row r="349" spans="2:16" x14ac:dyDescent="0.2">
      <c r="N349" s="53"/>
      <c r="O349" s="53" t="s">
        <v>246</v>
      </c>
      <c r="P349" s="49">
        <f>P68+P133+P202+P283+P345</f>
        <v>1620290950.0578959</v>
      </c>
    </row>
    <row r="350" spans="2:16" x14ac:dyDescent="0.2">
      <c r="K350" s="20"/>
      <c r="L350" s="19"/>
    </row>
    <row r="351" spans="2:16" x14ac:dyDescent="0.2">
      <c r="K351" s="20"/>
      <c r="L351" s="19"/>
    </row>
    <row r="352" spans="2:16" x14ac:dyDescent="0.2">
      <c r="K352" s="20"/>
    </row>
  </sheetData>
  <autoFilter ref="B4:N345">
    <sortState ref="B132:N199">
      <sortCondition ref="E4:E341"/>
    </sortState>
  </autoFilter>
  <mergeCells count="10">
    <mergeCell ref="B133:N133"/>
    <mergeCell ref="B202:N202"/>
    <mergeCell ref="B283:N283"/>
    <mergeCell ref="B345:N345"/>
    <mergeCell ref="B2:P2"/>
    <mergeCell ref="B68:N68"/>
    <mergeCell ref="B3:D3"/>
    <mergeCell ref="E3:G3"/>
    <mergeCell ref="H3:L3"/>
    <mergeCell ref="M3:O3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Vagyon leltár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Oláh Tamás</dc:creator>
  <cp:lastModifiedBy>Tóth Norbert</cp:lastModifiedBy>
  <cp:lastPrinted>2016-04-04T14:29:09Z</cp:lastPrinted>
  <dcterms:created xsi:type="dcterms:W3CDTF">2016-02-29T07:44:27Z</dcterms:created>
  <dcterms:modified xsi:type="dcterms:W3CDTF">2016-10-19T14:21:47Z</dcterms:modified>
</cp:coreProperties>
</file>