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2017" sheetId="1" r:id="rId1"/>
    <sheet name="Munka1" sheetId="2" r:id="rId2"/>
  </sheets>
  <calcPr calcId="145621" iterateDelta="1E-4"/>
</workbook>
</file>

<file path=xl/calcChain.xml><?xml version="1.0" encoding="utf-8"?>
<calcChain xmlns="http://schemas.openxmlformats.org/spreadsheetml/2006/main">
  <c r="L26" i="2" l="1"/>
  <c r="K7" i="2"/>
  <c r="M7" i="2" s="1"/>
  <c r="G92" i="1"/>
  <c r="F92" i="1"/>
  <c r="E92" i="1"/>
  <c r="D92" i="1"/>
  <c r="H91" i="1"/>
  <c r="H90" i="1"/>
  <c r="H89" i="1"/>
  <c r="H88" i="1"/>
  <c r="H87" i="1"/>
  <c r="H86" i="1"/>
  <c r="G85" i="1"/>
  <c r="F85" i="1"/>
  <c r="F93" i="1" s="1"/>
  <c r="E85" i="1"/>
  <c r="E93" i="1" s="1"/>
  <c r="D85" i="1"/>
  <c r="H84" i="1"/>
  <c r="H83" i="1"/>
  <c r="H82" i="1"/>
  <c r="H81" i="1"/>
  <c r="H80" i="1"/>
  <c r="H79" i="1"/>
  <c r="H78" i="1"/>
  <c r="H77" i="1"/>
  <c r="H76" i="1"/>
  <c r="H74" i="1"/>
  <c r="G73" i="1"/>
  <c r="D73" i="1"/>
  <c r="F72" i="1"/>
  <c r="F73" i="1" s="1"/>
  <c r="E72" i="1"/>
  <c r="E73" i="1" s="1"/>
  <c r="H71" i="1"/>
  <c r="H70" i="1"/>
  <c r="H69" i="1"/>
  <c r="F67" i="1"/>
  <c r="D67" i="1"/>
  <c r="H67" i="1" s="1"/>
  <c r="G66" i="1"/>
  <c r="F66" i="1"/>
  <c r="I66" i="1" s="1"/>
  <c r="E66" i="1"/>
  <c r="H65" i="1"/>
  <c r="H64" i="1"/>
  <c r="H63" i="1"/>
  <c r="D62" i="1"/>
  <c r="D66" i="1" s="1"/>
  <c r="H61" i="1"/>
  <c r="H60" i="1"/>
  <c r="H59" i="1"/>
  <c r="G58" i="1"/>
  <c r="G68" i="1" s="1"/>
  <c r="E58" i="1"/>
  <c r="E68" i="1" s="1"/>
  <c r="D58" i="1"/>
  <c r="H57" i="1"/>
  <c r="H56" i="1"/>
  <c r="H55" i="1"/>
  <c r="H58" i="1" s="1"/>
  <c r="F55" i="1"/>
  <c r="F58" i="1" s="1"/>
  <c r="H53" i="1"/>
  <c r="H52" i="1"/>
  <c r="G51" i="1"/>
  <c r="F51" i="1"/>
  <c r="E51" i="1"/>
  <c r="D51" i="1"/>
  <c r="H50" i="1"/>
  <c r="H49" i="1"/>
  <c r="H48" i="1"/>
  <c r="G47" i="1"/>
  <c r="H46" i="1"/>
  <c r="H45" i="1"/>
  <c r="E44" i="1"/>
  <c r="D44" i="1"/>
  <c r="H43" i="1"/>
  <c r="H42" i="1"/>
  <c r="H41" i="1"/>
  <c r="F40" i="1"/>
  <c r="E40" i="1"/>
  <c r="D40" i="1"/>
  <c r="H39" i="1"/>
  <c r="F38" i="1"/>
  <c r="E38" i="1"/>
  <c r="H38" i="1" s="1"/>
  <c r="H37" i="1"/>
  <c r="H36" i="1"/>
  <c r="H35" i="1"/>
  <c r="H34" i="1"/>
  <c r="H33" i="1"/>
  <c r="H32" i="1"/>
  <c r="F31" i="1"/>
  <c r="E31" i="1"/>
  <c r="H31" i="1" s="1"/>
  <c r="F30" i="1"/>
  <c r="H30" i="1" s="1"/>
  <c r="G29" i="1"/>
  <c r="D29" i="1"/>
  <c r="F28" i="1"/>
  <c r="E28" i="1"/>
  <c r="F27" i="1"/>
  <c r="H27" i="1" s="1"/>
  <c r="H26" i="1"/>
  <c r="F25" i="1"/>
  <c r="H25" i="1" s="1"/>
  <c r="F24" i="1"/>
  <c r="E24" i="1"/>
  <c r="F23" i="1"/>
  <c r="E23" i="1"/>
  <c r="F22" i="1"/>
  <c r="H21" i="1"/>
  <c r="H20" i="1"/>
  <c r="G19" i="1"/>
  <c r="E19" i="1"/>
  <c r="F18" i="1"/>
  <c r="F19" i="1" s="1"/>
  <c r="D18" i="1"/>
  <c r="D17" i="1"/>
  <c r="D19" i="1" s="1"/>
  <c r="H16" i="1"/>
  <c r="H14" i="1"/>
  <c r="G13" i="1"/>
  <c r="F13" i="1"/>
  <c r="E13" i="1"/>
  <c r="D13" i="1"/>
  <c r="H12" i="1"/>
  <c r="H11" i="1"/>
  <c r="H13" i="1" s="1"/>
  <c r="H9" i="1"/>
  <c r="G8" i="1"/>
  <c r="G10" i="1" s="1"/>
  <c r="F8" i="1"/>
  <c r="F10" i="1" s="1"/>
  <c r="E8" i="1"/>
  <c r="E10" i="1" s="1"/>
  <c r="D8" i="1"/>
  <c r="D10" i="1" s="1"/>
  <c r="H7" i="1"/>
  <c r="A7" i="1"/>
  <c r="A8" i="1" s="1"/>
  <c r="A9" i="1" s="1"/>
  <c r="A10" i="1" s="1"/>
  <c r="A11" i="1" s="1"/>
  <c r="A12" i="1" s="1"/>
  <c r="A13" i="1" s="1"/>
  <c r="A14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H6" i="1"/>
  <c r="G54" i="1" l="1"/>
  <c r="G75" i="1" s="1"/>
  <c r="G94" i="1" s="1"/>
  <c r="G96" i="1" s="1"/>
  <c r="G93" i="1"/>
  <c r="F29" i="1"/>
  <c r="F68" i="1"/>
  <c r="D93" i="1"/>
  <c r="H92" i="1"/>
  <c r="H8" i="1"/>
  <c r="H10" i="1" s="1"/>
  <c r="H22" i="1"/>
  <c r="H44" i="1"/>
  <c r="H18" i="1"/>
  <c r="H23" i="1"/>
  <c r="H28" i="1"/>
  <c r="D47" i="1"/>
  <c r="D54" i="1" s="1"/>
  <c r="D68" i="1"/>
  <c r="H24" i="1"/>
  <c r="F47" i="1"/>
  <c r="E47" i="1"/>
  <c r="H51" i="1"/>
  <c r="H72" i="1"/>
  <c r="H73" i="1" s="1"/>
  <c r="H62" i="1"/>
  <c r="H66" i="1" s="1"/>
  <c r="H68" i="1" s="1"/>
  <c r="H85" i="1"/>
  <c r="H93" i="1" s="1"/>
  <c r="H17" i="1"/>
  <c r="H19" i="1" s="1"/>
  <c r="E29" i="1"/>
  <c r="H40" i="1"/>
  <c r="H47" i="1" s="1"/>
  <c r="D75" i="1" l="1"/>
  <c r="D94" i="1" s="1"/>
  <c r="D96" i="1" s="1"/>
  <c r="E54" i="1"/>
  <c r="E75" i="1" s="1"/>
  <c r="E94" i="1" s="1"/>
  <c r="E96" i="1" s="1"/>
  <c r="F54" i="1"/>
  <c r="F75" i="1" s="1"/>
  <c r="F94" i="1" s="1"/>
  <c r="F96" i="1" s="1"/>
  <c r="H29" i="1"/>
  <c r="H54" i="1" s="1"/>
  <c r="H75" i="1" s="1"/>
  <c r="H94" i="1" s="1"/>
  <c r="H96" i="1" s="1"/>
</calcChain>
</file>

<file path=xl/sharedStrings.xml><?xml version="1.0" encoding="utf-8"?>
<sst xmlns="http://schemas.openxmlformats.org/spreadsheetml/2006/main" count="120" uniqueCount="116">
  <si>
    <t>Martfűi Városfejlesztési Nkft</t>
  </si>
  <si>
    <t>Számviteli törvény szerinti eredménylevezetés tevékenységek szerint</t>
  </si>
  <si>
    <t>2017.I.félév</t>
  </si>
  <si>
    <t>Sor-szám</t>
  </si>
  <si>
    <t>A tétel megnevezése</t>
  </si>
  <si>
    <t>Hulladékgazdálkodás (nettó)</t>
  </si>
  <si>
    <t>Ingatlangazdálkodás (nettó)</t>
  </si>
  <si>
    <t>TESZ (bruttó) ÁFA levonási jog nincs</t>
  </si>
  <si>
    <t>Vállalkozási szerződésen alapuló TESZ</t>
  </si>
  <si>
    <t>Árbevételek</t>
  </si>
  <si>
    <t>Közvetített szolgáltatások árbevétele (92.)</t>
  </si>
  <si>
    <t>Belföldi értékesítés árbevétele</t>
  </si>
  <si>
    <t>Exportértékesítés nettó árbevétele</t>
  </si>
  <si>
    <t>I.</t>
  </si>
  <si>
    <t>Értékesítés nettó árbevétele (01+02)</t>
  </si>
  <si>
    <t>Saját termelésű készletek állományváltozása ±</t>
  </si>
  <si>
    <t>Saját előállítású eszközök aktivált értéke</t>
  </si>
  <si>
    <t>II.</t>
  </si>
  <si>
    <t>Aktivált saját teljesítmények értéke (±03+04)</t>
  </si>
  <si>
    <t>Önkormányzati támogatás</t>
  </si>
  <si>
    <t>Értékesített tárgyi eszközök</t>
  </si>
  <si>
    <t>Fejlesztési tartalék visszaírása</t>
  </si>
  <si>
    <t>Egyéb bevételek</t>
  </si>
  <si>
    <t>III.</t>
  </si>
  <si>
    <t>Egyéb bevételek összesen</t>
  </si>
  <si>
    <t>Útépítéshez felhasznált anyagok</t>
  </si>
  <si>
    <t>Csomagolóanyagok</t>
  </si>
  <si>
    <t>Üzemanyagok, kenőanyagok</t>
  </si>
  <si>
    <t>Közüzemi díjak (víz-, villany, gáz)</t>
  </si>
  <si>
    <t>Karbantartási anyagok</t>
  </si>
  <si>
    <t>Munkaruha, védőruha, védőfelszerelés</t>
  </si>
  <si>
    <t>Nyomtatvány, irodaszer</t>
  </si>
  <si>
    <t>Tisztítószerek</t>
  </si>
  <si>
    <t>Egyéb előzőekbe be nem sorolható anyagok</t>
  </si>
  <si>
    <t>Anyagköltségek összesen</t>
  </si>
  <si>
    <t>Parkolás, autópálya, útdíjak</t>
  </si>
  <si>
    <t>Bérleti díjak</t>
  </si>
  <si>
    <t>Épületen végzett karbantartás</t>
  </si>
  <si>
    <t>Járműveken végzett karbantartás</t>
  </si>
  <si>
    <t>Egyéb eszközökön végzett karbantartás</t>
  </si>
  <si>
    <t>Irodai eszközökön végzett karbantartás</t>
  </si>
  <si>
    <t>Oktatás</t>
  </si>
  <si>
    <t>Üzleti célú utazási költségek</t>
  </si>
  <si>
    <t>Szakértői szolgáltatások (munka és tűzvédelem, kockázatelemzés, ügyvédi díj, könyvvezetés)</t>
  </si>
  <si>
    <t>Alvállalkozói költség (útépítés)</t>
  </si>
  <si>
    <t>Posta-, telefon-, internetköltség</t>
  </si>
  <si>
    <t>Internet (kábeltv.- internet)</t>
  </si>
  <si>
    <t>Rágcsálóirtás</t>
  </si>
  <si>
    <t>Távhő szolgáltatás</t>
  </si>
  <si>
    <t>Különféle egyéb igénybe vett szolgáltatások</t>
  </si>
  <si>
    <t>Igénybe vett szolgáltatások értéke</t>
  </si>
  <si>
    <t>Bankköltség</t>
  </si>
  <si>
    <t>Biztosítási díjak</t>
  </si>
  <si>
    <t>Hatósági díjak</t>
  </si>
  <si>
    <t>Egyéb szolgáltatások értéke</t>
  </si>
  <si>
    <t>Eladott áruk beszerzési értéke</t>
  </si>
  <si>
    <t>Eladott (közvetített) szolgáltatások értéke</t>
  </si>
  <si>
    <t>IV.</t>
  </si>
  <si>
    <t>Anyagjellegű ráfordítások (18+36+40+41+42)</t>
  </si>
  <si>
    <t>Munkabérek</t>
  </si>
  <si>
    <t>Megbízási díj</t>
  </si>
  <si>
    <t>Tiszteletdíjak</t>
  </si>
  <si>
    <t>Bérköltség összesen (43+44+45)</t>
  </si>
  <si>
    <t>Betegszabadság</t>
  </si>
  <si>
    <t>Munkába járás térítése</t>
  </si>
  <si>
    <t>Kiküldetés, Napidíjak</t>
  </si>
  <si>
    <t>Étkezési hozzájárulás</t>
  </si>
  <si>
    <t>Foglalkozás eü. szolgálat</t>
  </si>
  <si>
    <t>Munkáltató által fizetett táppénz-hozzájárulás</t>
  </si>
  <si>
    <t>Egyéb kifizetés (alkalmi foglalkoztatás)</t>
  </si>
  <si>
    <t>Személyi jellegű egyéb kifizetések összesen</t>
  </si>
  <si>
    <t>Bérjárulékok</t>
  </si>
  <si>
    <t>V.</t>
  </si>
  <si>
    <t>Személyi jellegű ráfordítások (46+54+55)</t>
  </si>
  <si>
    <t>VI.</t>
  </si>
  <si>
    <t>Értékcsökkenési leírás</t>
  </si>
  <si>
    <t>Értékesített tárgyi eszközök nyilv.szer.értéke</t>
  </si>
  <si>
    <t>Építményadó</t>
  </si>
  <si>
    <t>Egyéb nem részl. ráfordítások</t>
  </si>
  <si>
    <t>VII.</t>
  </si>
  <si>
    <t>Egyéb ráfordítások</t>
  </si>
  <si>
    <t>ebből: értékvesztés</t>
  </si>
  <si>
    <t>A.</t>
  </si>
  <si>
    <t>ÜZEMI (ÜZLETI) TEVÉKENYSÉG EREDMÉNYE  (I±II+III-IV-V-VI-VII)</t>
  </si>
  <si>
    <t>Kapott (járó) osztalék és részesedés</t>
  </si>
  <si>
    <t>ebből: kapcsolt vállalkozástól kapott</t>
  </si>
  <si>
    <t>Részesedések értékesítésének árfolyamnyeresége</t>
  </si>
  <si>
    <t>Befektetett pénzügyi eszközök kamatai, árfolyamny.</t>
  </si>
  <si>
    <t>Egyéb kapott kamatok,kamatjellegű  bevételek</t>
  </si>
  <si>
    <t>Pénzügyi műveletek egyéb bevételei</t>
  </si>
  <si>
    <t>VIII.</t>
  </si>
  <si>
    <t>Pénzügyi műv. bevételei (13+14+15+16+17)</t>
  </si>
  <si>
    <t>Befektetett pénzügyi eszközök árfolyamvesztesége</t>
  </si>
  <si>
    <t>ebből: kapcsolt vállalkozásnak adott</t>
  </si>
  <si>
    <t>Fizetendő kamatok és kamatjellegű ráfordítások</t>
  </si>
  <si>
    <t>Részesedések, értékp., bankbetétek értékvesztése</t>
  </si>
  <si>
    <t>Pénzügyi műveletek egyéb ráfordításai</t>
  </si>
  <si>
    <t>IX.</t>
  </si>
  <si>
    <t>Pénzügyi műveletek ráfordításai (18+19±20+21)</t>
  </si>
  <si>
    <t>B.</t>
  </si>
  <si>
    <t>PÉNZÜGYI MŰVELETEK EREDMÉNYE</t>
  </si>
  <si>
    <t>C.</t>
  </si>
  <si>
    <t>ADÓZÁS ELŐTTI EREDMÉNY (±A±B)</t>
  </si>
  <si>
    <t>X</t>
  </si>
  <si>
    <t>Adófizetési kötelezettség</t>
  </si>
  <si>
    <t>D</t>
  </si>
  <si>
    <t>ADÓZOTT EREDMÉNY (±E-XII)</t>
  </si>
  <si>
    <t>Szolnok, 2017. június 30</t>
  </si>
  <si>
    <t>Bérek</t>
  </si>
  <si>
    <t>bér</t>
  </si>
  <si>
    <t>hónap</t>
  </si>
  <si>
    <t>étk.hj 8000</t>
  </si>
  <si>
    <t>szja</t>
  </si>
  <si>
    <t>eü</t>
  </si>
  <si>
    <t>2017.év összesített eredmény</t>
  </si>
  <si>
    <t>Vagyonkezelésre átvett állományra befizetések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</si>
</sst>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\-##\-######"/>
    <numFmt numFmtId="165" formatCode="yyyy/\ mmmm\ d\."/>
    <numFmt numFmtId="166" formatCode="_-* #,##0.00\ _F_t_-;\-* #,##0.00\ _F_t_-;_-* \-??\ _F_t_-;_-@_-"/>
    <numFmt numFmtId="167" formatCode="_-* #,##0\ _F_t_-;\-* #,##0\ _F_t_-;_-* \-??\ _F_t_-;_-@_-"/>
    <numFmt numFmtId="168" formatCode="mmmm\ d&quot;, &quot;yyyy"/>
  </numFmts>
  <fonts count="16"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name val="Times New Roman CE"/>
      <family val="1"/>
      <charset val="238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 CE"/>
      <family val="1"/>
      <charset val="238"/>
    </font>
    <font>
      <i/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000000"/>
      <name val="Mang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15" fillId="0" borderId="0"/>
  </cellStyleXfs>
  <cellXfs count="66">
    <xf numFmtId="0" fontId="1" fillId="0" borderId="0" xfId="0" applyFont="1"/>
    <xf numFmtId="0" fontId="2" fillId="0" borderId="0" xfId="0" applyFont="1"/>
    <xf numFmtId="0" fontId="3" fillId="0" borderId="0" xfId="0" applyFont="1"/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5" fontId="5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7" fontId="7" fillId="0" borderId="1" xfId="1" applyNumberFormat="1" applyFont="1" applyBorder="1" applyAlignment="1" applyProtection="1">
      <alignment horizontal="right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3" fontId="9" fillId="3" borderId="1" xfId="0" applyNumberFormat="1" applyFont="1" applyFill="1" applyBorder="1" applyAlignment="1">
      <alignment horizontal="right"/>
    </xf>
    <xf numFmtId="0" fontId="5" fillId="0" borderId="1" xfId="0" applyFont="1" applyBorder="1" applyAlignment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3" fontId="6" fillId="3" borderId="1" xfId="0" applyNumberFormat="1" applyFont="1" applyFill="1" applyBorder="1" applyAlignment="1">
      <alignment horizontal="right"/>
    </xf>
    <xf numFmtId="167" fontId="9" fillId="0" borderId="1" xfId="1" applyNumberFormat="1" applyFont="1" applyBorder="1" applyAlignment="1" applyProtection="1">
      <alignment horizontal="right"/>
    </xf>
    <xf numFmtId="167" fontId="10" fillId="0" borderId="1" xfId="1" applyNumberFormat="1" applyFont="1" applyBorder="1" applyAlignment="1" applyProtection="1">
      <alignment horizontal="right"/>
    </xf>
    <xf numFmtId="167" fontId="8" fillId="3" borderId="1" xfId="1" applyNumberFormat="1" applyFont="1" applyFill="1" applyBorder="1" applyAlignment="1" applyProtection="1">
      <alignment horizontal="right"/>
    </xf>
    <xf numFmtId="167" fontId="8" fillId="3" borderId="1" xfId="0" applyNumberFormat="1" applyFont="1" applyFill="1" applyBorder="1" applyAlignment="1" applyProtection="1">
      <alignment horizontal="right"/>
    </xf>
    <xf numFmtId="167" fontId="8" fillId="0" borderId="1" xfId="1" applyNumberFormat="1" applyFont="1" applyBorder="1" applyAlignment="1" applyProtection="1">
      <alignment horizontal="right"/>
    </xf>
    <xf numFmtId="167" fontId="8" fillId="0" borderId="1" xfId="0" applyNumberFormat="1" applyFont="1" applyBorder="1" applyAlignment="1" applyProtection="1">
      <alignment horizontal="right"/>
    </xf>
    <xf numFmtId="167" fontId="7" fillId="0" borderId="1" xfId="0" applyNumberFormat="1" applyFont="1" applyBorder="1" applyAlignment="1" applyProtection="1">
      <alignment horizontal="right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 applyProtection="1">
      <alignment horizontal="right"/>
      <protection locked="0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3" fontId="6" fillId="3" borderId="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wrapText="1"/>
    </xf>
    <xf numFmtId="167" fontId="9" fillId="3" borderId="1" xfId="1" applyNumberFormat="1" applyFont="1" applyFill="1" applyBorder="1" applyAlignment="1" applyProtection="1">
      <alignment horizontal="right"/>
    </xf>
    <xf numFmtId="0" fontId="6" fillId="3" borderId="1" xfId="0" applyFont="1" applyFill="1" applyBorder="1" applyAlignment="1">
      <alignment horizontal="center" vertical="top"/>
    </xf>
    <xf numFmtId="3" fontId="2" fillId="0" borderId="0" xfId="0" applyNumberFormat="1" applyFont="1"/>
    <xf numFmtId="167" fontId="2" fillId="0" borderId="0" xfId="0" applyNumberFormat="1" applyFont="1"/>
    <xf numFmtId="168" fontId="5" fillId="0" borderId="1" xfId="0" applyNumberFormat="1" applyFont="1" applyBorder="1" applyAlignment="1">
      <alignment horizontal="left"/>
    </xf>
    <xf numFmtId="0" fontId="5" fillId="0" borderId="1" xfId="0" applyFont="1" applyBorder="1"/>
    <xf numFmtId="1" fontId="2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/>
    <xf numFmtId="3" fontId="10" fillId="0" borderId="1" xfId="0" applyNumberFormat="1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167" fontId="7" fillId="0" borderId="0" xfId="1" applyNumberFormat="1" applyFont="1" applyBorder="1" applyAlignment="1" applyProtection="1"/>
    <xf numFmtId="167" fontId="8" fillId="0" borderId="0" xfId="1" applyNumberFormat="1" applyFont="1" applyBorder="1" applyAlignment="1" applyProtection="1"/>
    <xf numFmtId="3" fontId="5" fillId="0" borderId="0" xfId="0" applyNumberFormat="1" applyFont="1" applyBorder="1" applyAlignment="1">
      <alignment horizontal="left"/>
    </xf>
    <xf numFmtId="167" fontId="7" fillId="0" borderId="0" xfId="1" applyNumberFormat="1" applyFont="1" applyBorder="1" applyAlignment="1" applyProtection="1">
      <alignment wrapText="1"/>
    </xf>
    <xf numFmtId="0" fontId="13" fillId="0" borderId="0" xfId="0" applyFont="1"/>
    <xf numFmtId="0" fontId="14" fillId="0" borderId="0" xfId="0" applyFont="1"/>
    <xf numFmtId="1" fontId="3" fillId="0" borderId="0" xfId="0" applyNumberFormat="1" applyFo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 applyProtection="1">
      <alignment horizontal="right"/>
    </xf>
    <xf numFmtId="167" fontId="9" fillId="0" borderId="0" xfId="1" applyNumberFormat="1" applyFont="1" applyBorder="1" applyAlignment="1" applyProtection="1">
      <alignment horizontal="right"/>
    </xf>
    <xf numFmtId="0" fontId="2" fillId="0" borderId="0" xfId="0" applyFont="1" applyBorder="1"/>
    <xf numFmtId="164" fontId="4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9"/>
  <sheetViews>
    <sheetView tabSelected="1" topLeftCell="A49" zoomScaleNormal="100" zoomScalePageLayoutView="60" workbookViewId="0">
      <selection activeCell="H14" sqref="H14"/>
    </sheetView>
  </sheetViews>
  <sheetFormatPr defaultRowHeight="15"/>
  <cols>
    <col min="1" max="1" width="4.875" style="1"/>
    <col min="2" max="2" width="4.625" style="1"/>
    <col min="3" max="3" width="34.375" style="1"/>
    <col min="4" max="4" width="12" style="1"/>
    <col min="5" max="5" width="13.375" style="1" customWidth="1"/>
    <col min="6" max="7" width="12" style="1"/>
    <col min="8" max="8" width="12" style="2"/>
    <col min="9" max="9" width="15" style="1"/>
    <col min="10" max="10" width="14.25" style="1"/>
    <col min="11" max="11" width="8.75" style="1"/>
    <col min="12" max="12" width="12.25" style="1"/>
    <col min="13" max="13" width="8.75" style="1"/>
    <col min="14" max="1025" width="8.25" style="1"/>
  </cols>
  <sheetData>
    <row r="1" spans="1:9" ht="15.75">
      <c r="A1" s="64" t="s">
        <v>0</v>
      </c>
      <c r="B1" s="64"/>
      <c r="C1" s="64"/>
      <c r="D1" s="64"/>
      <c r="E1" s="64"/>
      <c r="F1" s="64"/>
      <c r="G1" s="64"/>
      <c r="H1" s="64"/>
    </row>
    <row r="2" spans="1:9" ht="15.75">
      <c r="A2" s="64" t="s">
        <v>1</v>
      </c>
      <c r="B2" s="64"/>
      <c r="C2" s="64"/>
      <c r="D2" s="64"/>
      <c r="E2" s="64"/>
      <c r="F2" s="64"/>
      <c r="G2" s="64"/>
      <c r="H2" s="64"/>
    </row>
    <row r="3" spans="1:9">
      <c r="A3" s="3"/>
      <c r="B3" s="4"/>
      <c r="C3" s="4"/>
      <c r="D3" s="4" t="s">
        <v>2</v>
      </c>
      <c r="E3" s="4"/>
      <c r="F3" s="4"/>
      <c r="G3" s="4"/>
      <c r="H3" s="5"/>
    </row>
    <row r="4" spans="1:9">
      <c r="A4" s="6"/>
      <c r="B4" s="7"/>
      <c r="C4" s="8"/>
      <c r="D4" s="7">
        <v>1</v>
      </c>
      <c r="E4" s="7">
        <v>2</v>
      </c>
      <c r="F4" s="7">
        <v>3</v>
      </c>
      <c r="G4" s="7">
        <v>4</v>
      </c>
      <c r="H4" s="9"/>
    </row>
    <row r="5" spans="1:9" ht="108.75" customHeight="1">
      <c r="A5" s="58" t="s">
        <v>3</v>
      </c>
      <c r="B5" s="59"/>
      <c r="C5" s="59" t="s">
        <v>4</v>
      </c>
      <c r="D5" s="60" t="s">
        <v>5</v>
      </c>
      <c r="E5" s="60" t="s">
        <v>6</v>
      </c>
      <c r="F5" s="60" t="s">
        <v>7</v>
      </c>
      <c r="G5" s="60" t="s">
        <v>8</v>
      </c>
      <c r="H5" s="60" t="s">
        <v>114</v>
      </c>
    </row>
    <row r="6" spans="1:9">
      <c r="A6" s="10">
        <v>1</v>
      </c>
      <c r="B6" s="10"/>
      <c r="C6" s="11" t="s">
        <v>9</v>
      </c>
      <c r="D6" s="12">
        <v>720000</v>
      </c>
      <c r="E6" s="12">
        <v>17344674</v>
      </c>
      <c r="F6" s="12">
        <v>0</v>
      </c>
      <c r="G6" s="12">
        <v>768818</v>
      </c>
      <c r="H6" s="24">
        <f>SUM(D6:G6)</f>
        <v>18833492</v>
      </c>
    </row>
    <row r="7" spans="1:9">
      <c r="A7" s="10">
        <f t="shared" ref="A7:A39" si="0">A6+1</f>
        <v>2</v>
      </c>
      <c r="B7" s="10"/>
      <c r="C7" s="11" t="s">
        <v>10</v>
      </c>
      <c r="D7" s="12"/>
      <c r="E7" s="12"/>
      <c r="F7" s="12"/>
      <c r="G7" s="12"/>
      <c r="H7" s="24">
        <f>SUM(D7:G7)</f>
        <v>0</v>
      </c>
    </row>
    <row r="8" spans="1:9">
      <c r="A8" s="13">
        <f t="shared" si="0"/>
        <v>3</v>
      </c>
      <c r="B8" s="13">
        <v>1</v>
      </c>
      <c r="C8" s="14" t="s">
        <v>11</v>
      </c>
      <c r="D8" s="15">
        <f>SUM(D6:D7)</f>
        <v>720000</v>
      </c>
      <c r="E8" s="15">
        <f>SUM(E6:E7)</f>
        <v>17344674</v>
      </c>
      <c r="F8" s="15">
        <f>SUM(F6:F7)</f>
        <v>0</v>
      </c>
      <c r="G8" s="15">
        <f>SUM(G6:G7)</f>
        <v>768818</v>
      </c>
      <c r="H8" s="15">
        <f>SUM(H6:H7)</f>
        <v>18833492</v>
      </c>
    </row>
    <row r="9" spans="1:9">
      <c r="A9" s="10">
        <f t="shared" si="0"/>
        <v>4</v>
      </c>
      <c r="B9" s="10">
        <v>2</v>
      </c>
      <c r="C9" s="16" t="s">
        <v>12</v>
      </c>
      <c r="D9" s="12">
        <v>0</v>
      </c>
      <c r="E9" s="12">
        <v>0</v>
      </c>
      <c r="F9" s="12">
        <v>0</v>
      </c>
      <c r="G9" s="12">
        <v>0</v>
      </c>
      <c r="H9" s="24">
        <f>SUM(D9:G9)</f>
        <v>0</v>
      </c>
    </row>
    <row r="10" spans="1:9">
      <c r="A10" s="13">
        <f t="shared" si="0"/>
        <v>5</v>
      </c>
      <c r="B10" s="17" t="s">
        <v>13</v>
      </c>
      <c r="C10" s="18" t="s">
        <v>14</v>
      </c>
      <c r="D10" s="15">
        <f>SUM(D8:D9)</f>
        <v>720000</v>
      </c>
      <c r="E10" s="15">
        <f>SUM(E8:E9)</f>
        <v>17344674</v>
      </c>
      <c r="F10" s="15">
        <f>SUM(F8:F9)</f>
        <v>0</v>
      </c>
      <c r="G10" s="15">
        <f>SUM(G8:G9)</f>
        <v>768818</v>
      </c>
      <c r="H10" s="15">
        <f>SUM(H8:H9)</f>
        <v>18833492</v>
      </c>
    </row>
    <row r="11" spans="1:9">
      <c r="A11" s="10">
        <f t="shared" si="0"/>
        <v>6</v>
      </c>
      <c r="B11" s="10">
        <v>3</v>
      </c>
      <c r="C11" s="16" t="s">
        <v>15</v>
      </c>
      <c r="D11" s="12">
        <v>0</v>
      </c>
      <c r="E11" s="12">
        <v>0</v>
      </c>
      <c r="F11" s="12">
        <v>0</v>
      </c>
      <c r="G11" s="12">
        <v>0</v>
      </c>
      <c r="H11" s="24">
        <f>SUM(D11:G11)</f>
        <v>0</v>
      </c>
    </row>
    <row r="12" spans="1:9">
      <c r="A12" s="10">
        <f t="shared" si="0"/>
        <v>7</v>
      </c>
      <c r="B12" s="10">
        <v>4</v>
      </c>
      <c r="C12" s="16" t="s">
        <v>16</v>
      </c>
      <c r="D12" s="12">
        <v>0</v>
      </c>
      <c r="E12" s="12">
        <v>0</v>
      </c>
      <c r="F12" s="12">
        <v>0</v>
      </c>
      <c r="G12" s="12">
        <v>0</v>
      </c>
      <c r="H12" s="24">
        <f>SUM(D12:G12)</f>
        <v>0</v>
      </c>
    </row>
    <row r="13" spans="1:9">
      <c r="A13" s="13">
        <f t="shared" si="0"/>
        <v>8</v>
      </c>
      <c r="B13" s="17" t="s">
        <v>17</v>
      </c>
      <c r="C13" s="18" t="s">
        <v>18</v>
      </c>
      <c r="D13" s="19">
        <f>SUM(D11:D12)</f>
        <v>0</v>
      </c>
      <c r="E13" s="19">
        <f>SUM(E11:E12)</f>
        <v>0</v>
      </c>
      <c r="F13" s="19">
        <f>SUM(F11:F12)</f>
        <v>0</v>
      </c>
      <c r="G13" s="19">
        <f>SUM(G11:G12)</f>
        <v>0</v>
      </c>
      <c r="H13" s="19">
        <f>SUM(H11:H12)</f>
        <v>0</v>
      </c>
    </row>
    <row r="14" spans="1:9">
      <c r="A14" s="10">
        <f>A13+1</f>
        <v>9</v>
      </c>
      <c r="B14" s="10"/>
      <c r="C14" s="16" t="s">
        <v>19</v>
      </c>
      <c r="D14" s="12">
        <v>0</v>
      </c>
      <c r="F14" s="21">
        <v>34186827</v>
      </c>
      <c r="G14" s="20">
        <v>0</v>
      </c>
      <c r="H14" s="24">
        <f>D14+E15+F14+G14</f>
        <v>38995861</v>
      </c>
    </row>
    <row r="15" spans="1:9">
      <c r="A15" s="10"/>
      <c r="B15" s="10"/>
      <c r="C15" s="16" t="s">
        <v>115</v>
      </c>
      <c r="D15" s="12"/>
      <c r="E15" s="21">
        <v>4809034</v>
      </c>
      <c r="F15" s="21"/>
      <c r="G15" s="20"/>
      <c r="H15" s="24"/>
      <c r="I15" s="63"/>
    </row>
    <row r="16" spans="1:9">
      <c r="A16" s="10">
        <f>A14+1</f>
        <v>10</v>
      </c>
      <c r="B16" s="10"/>
      <c r="C16" s="16" t="s">
        <v>20</v>
      </c>
      <c r="D16" s="12">
        <v>4680000</v>
      </c>
      <c r="F16" s="21">
        <v>0</v>
      </c>
      <c r="G16" s="20">
        <v>0</v>
      </c>
      <c r="H16" s="24">
        <f>D16+I16+F16+G16</f>
        <v>4680000</v>
      </c>
      <c r="I16" s="62">
        <v>0</v>
      </c>
    </row>
    <row r="17" spans="1:1024">
      <c r="A17" s="10">
        <f t="shared" si="0"/>
        <v>11</v>
      </c>
      <c r="B17" s="10"/>
      <c r="C17" s="16" t="s">
        <v>21</v>
      </c>
      <c r="D17" s="12">
        <f>6252260+361479</f>
        <v>6613739</v>
      </c>
      <c r="E17" s="20">
        <v>0</v>
      </c>
      <c r="F17" s="20">
        <v>162982</v>
      </c>
      <c r="G17" s="20">
        <v>0</v>
      </c>
      <c r="H17" s="24">
        <f>D17+E17+F17+G17</f>
        <v>6776721</v>
      </c>
    </row>
    <row r="18" spans="1:1024">
      <c r="A18" s="10">
        <f t="shared" si="0"/>
        <v>12</v>
      </c>
      <c r="B18" s="10"/>
      <c r="C18" s="16" t="s">
        <v>22</v>
      </c>
      <c r="D18" s="12">
        <f>6200-269523</f>
        <v>-263323</v>
      </c>
      <c r="E18" s="12">
        <v>0</v>
      </c>
      <c r="F18" s="12">
        <f>70725+67</f>
        <v>70792</v>
      </c>
      <c r="G18" s="12">
        <v>0</v>
      </c>
      <c r="H18" s="24">
        <f>D18+E18+F18+G18</f>
        <v>-192531</v>
      </c>
      <c r="L18" s="2"/>
    </row>
    <row r="19" spans="1:1024" s="2" customFormat="1">
      <c r="A19" s="13">
        <f t="shared" si="0"/>
        <v>13</v>
      </c>
      <c r="B19" s="17" t="s">
        <v>23</v>
      </c>
      <c r="C19" s="18" t="s">
        <v>24</v>
      </c>
      <c r="D19" s="22">
        <f>SUM(D14:D18)</f>
        <v>11030416</v>
      </c>
      <c r="E19" s="22">
        <f>SUM(E15:E18)</f>
        <v>4809034</v>
      </c>
      <c r="F19" s="23">
        <f>SUM(F14:F18)</f>
        <v>34420601</v>
      </c>
      <c r="G19" s="23">
        <f>SUM(G14:G18)</f>
        <v>0</v>
      </c>
      <c r="H19" s="23">
        <f>SUM(H14:H18)</f>
        <v>50260051</v>
      </c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</row>
    <row r="20" spans="1:1024" s="2" customFormat="1">
      <c r="A20" s="10">
        <f t="shared" si="0"/>
        <v>14</v>
      </c>
      <c r="B20" s="10"/>
      <c r="C20" s="16" t="s">
        <v>25</v>
      </c>
      <c r="D20" s="24">
        <v>0</v>
      </c>
      <c r="E20" s="24">
        <v>0</v>
      </c>
      <c r="F20" s="25">
        <v>0</v>
      </c>
      <c r="G20" s="26">
        <v>0</v>
      </c>
      <c r="H20" s="25">
        <f t="shared" ref="H20:H28" si="1">D20+E20+F20+G20</f>
        <v>0</v>
      </c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</row>
    <row r="21" spans="1:1024" s="2" customFormat="1">
      <c r="A21" s="10">
        <f t="shared" si="0"/>
        <v>15</v>
      </c>
      <c r="B21" s="10"/>
      <c r="C21" s="16" t="s">
        <v>26</v>
      </c>
      <c r="D21" s="12">
        <v>0</v>
      </c>
      <c r="E21" s="24">
        <v>0</v>
      </c>
      <c r="F21" s="25">
        <v>30488</v>
      </c>
      <c r="G21" s="25">
        <v>0</v>
      </c>
      <c r="H21" s="25">
        <f t="shared" si="1"/>
        <v>30488</v>
      </c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</row>
    <row r="22" spans="1:1024" s="2" customFormat="1">
      <c r="A22" s="10">
        <f t="shared" si="0"/>
        <v>16</v>
      </c>
      <c r="B22" s="10"/>
      <c r="C22" s="16" t="s">
        <v>27</v>
      </c>
      <c r="D22" s="12">
        <v>0</v>
      </c>
      <c r="E22" s="24">
        <v>0</v>
      </c>
      <c r="F22" s="26">
        <f>1518462+853244+204296</f>
        <v>2576002</v>
      </c>
      <c r="G22" s="25">
        <v>0</v>
      </c>
      <c r="H22" s="25">
        <f t="shared" si="1"/>
        <v>2576002</v>
      </c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</row>
    <row r="23" spans="1:1024" s="2" customFormat="1">
      <c r="A23" s="10">
        <f t="shared" si="0"/>
        <v>17</v>
      </c>
      <c r="B23" s="10"/>
      <c r="C23" s="16" t="s">
        <v>28</v>
      </c>
      <c r="D23" s="12">
        <v>0</v>
      </c>
      <c r="E23" s="12">
        <f>6670525-3789807+859280</f>
        <v>3739998</v>
      </c>
      <c r="F23" s="26">
        <f>1055341+326594+63573</f>
        <v>1445508</v>
      </c>
      <c r="G23" s="25">
        <v>0</v>
      </c>
      <c r="H23" s="25">
        <f t="shared" si="1"/>
        <v>5185506</v>
      </c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</row>
    <row r="24" spans="1:1024" s="2" customFormat="1">
      <c r="A24" s="10">
        <f t="shared" si="0"/>
        <v>18</v>
      </c>
      <c r="B24" s="10"/>
      <c r="C24" s="16" t="s">
        <v>29</v>
      </c>
      <c r="D24" s="12">
        <v>0</v>
      </c>
      <c r="E24" s="12">
        <f>676686</f>
        <v>676686</v>
      </c>
      <c r="F24" s="26">
        <f>511543+582996+679467+177959</f>
        <v>1951965</v>
      </c>
      <c r="G24" s="25">
        <v>0</v>
      </c>
      <c r="H24" s="25">
        <f t="shared" si="1"/>
        <v>2628651</v>
      </c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</row>
    <row r="25" spans="1:1024" s="2" customFormat="1">
      <c r="A25" s="10">
        <f t="shared" si="0"/>
        <v>19</v>
      </c>
      <c r="B25" s="10"/>
      <c r="C25" s="16" t="s">
        <v>30</v>
      </c>
      <c r="D25" s="12">
        <v>0</v>
      </c>
      <c r="E25" s="24">
        <v>472</v>
      </c>
      <c r="F25" s="26">
        <f>472071+110714</f>
        <v>582785</v>
      </c>
      <c r="G25" s="25">
        <v>0</v>
      </c>
      <c r="H25" s="25">
        <f t="shared" si="1"/>
        <v>583257</v>
      </c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</row>
    <row r="26" spans="1:1024" s="2" customFormat="1">
      <c r="A26" s="10">
        <f t="shared" si="0"/>
        <v>20</v>
      </c>
      <c r="B26" s="10"/>
      <c r="C26" s="16" t="s">
        <v>31</v>
      </c>
      <c r="D26" s="12">
        <v>0</v>
      </c>
      <c r="E26" s="12">
        <v>28231</v>
      </c>
      <c r="F26" s="26">
        <v>43476</v>
      </c>
      <c r="G26" s="25">
        <v>0</v>
      </c>
      <c r="H26" s="25">
        <f t="shared" si="1"/>
        <v>71707</v>
      </c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</row>
    <row r="27" spans="1:1024" s="2" customFormat="1">
      <c r="A27" s="10">
        <f t="shared" si="0"/>
        <v>21</v>
      </c>
      <c r="B27" s="10"/>
      <c r="C27" s="16" t="s">
        <v>32</v>
      </c>
      <c r="D27" s="12">
        <v>0</v>
      </c>
      <c r="E27" s="12">
        <v>51980</v>
      </c>
      <c r="F27" s="26">
        <f>83590+8400</f>
        <v>91990</v>
      </c>
      <c r="G27" s="25">
        <v>0</v>
      </c>
      <c r="H27" s="25">
        <f t="shared" si="1"/>
        <v>143970</v>
      </c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</row>
    <row r="28" spans="1:1024" s="2" customFormat="1">
      <c r="A28" s="10">
        <f t="shared" si="0"/>
        <v>22</v>
      </c>
      <c r="B28" s="10"/>
      <c r="C28" s="16" t="s">
        <v>33</v>
      </c>
      <c r="D28" s="12">
        <v>0</v>
      </c>
      <c r="E28" s="12">
        <f>7254+6600</f>
        <v>13854</v>
      </c>
      <c r="F28" s="26">
        <f>969573+513378+57752</f>
        <v>1540703</v>
      </c>
      <c r="G28" s="25">
        <v>0</v>
      </c>
      <c r="H28" s="25">
        <f t="shared" si="1"/>
        <v>1554557</v>
      </c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</row>
    <row r="29" spans="1:1024" s="2" customFormat="1">
      <c r="A29" s="13">
        <f t="shared" si="0"/>
        <v>23</v>
      </c>
      <c r="B29" s="17">
        <v>5</v>
      </c>
      <c r="C29" s="18" t="s">
        <v>34</v>
      </c>
      <c r="D29" s="22">
        <f>SUM(D20:D28)</f>
        <v>0</v>
      </c>
      <c r="E29" s="22">
        <f>SUM(E20:E28)</f>
        <v>4511221</v>
      </c>
      <c r="F29" s="23">
        <f>SUM(F20:F28)</f>
        <v>8262917</v>
      </c>
      <c r="G29" s="23">
        <f>SUM(G20:G28)</f>
        <v>0</v>
      </c>
      <c r="H29" s="22">
        <f t="shared" ref="H29:H46" si="2">SUM(D29:G29)</f>
        <v>12774138</v>
      </c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</row>
    <row r="30" spans="1:1024">
      <c r="A30" s="10">
        <f t="shared" si="0"/>
        <v>24</v>
      </c>
      <c r="B30" s="10"/>
      <c r="C30" s="16" t="s">
        <v>35</v>
      </c>
      <c r="D30" s="12">
        <v>0</v>
      </c>
      <c r="E30" s="12">
        <v>5694</v>
      </c>
      <c r="F30" s="12">
        <f>42369+3149+0</f>
        <v>45518</v>
      </c>
      <c r="G30" s="12">
        <v>0</v>
      </c>
      <c r="H30" s="24">
        <f t="shared" si="2"/>
        <v>51212</v>
      </c>
      <c r="L30" s="2"/>
    </row>
    <row r="31" spans="1:1024">
      <c r="A31" s="10">
        <f t="shared" si="0"/>
        <v>25</v>
      </c>
      <c r="B31" s="10"/>
      <c r="C31" s="16" t="s">
        <v>36</v>
      </c>
      <c r="D31" s="12">
        <v>0</v>
      </c>
      <c r="E31" s="12">
        <f>48300+26774</f>
        <v>75074</v>
      </c>
      <c r="F31" s="12">
        <f>202016+51005</f>
        <v>253021</v>
      </c>
      <c r="G31" s="12">
        <v>0</v>
      </c>
      <c r="H31" s="24">
        <f t="shared" si="2"/>
        <v>328095</v>
      </c>
      <c r="L31" s="2"/>
    </row>
    <row r="32" spans="1:1024">
      <c r="A32" s="10">
        <f t="shared" si="0"/>
        <v>26</v>
      </c>
      <c r="B32" s="10"/>
      <c r="C32" s="16" t="s">
        <v>37</v>
      </c>
      <c r="D32" s="12">
        <v>0</v>
      </c>
      <c r="E32" s="12">
        <v>630276</v>
      </c>
      <c r="F32" s="12">
        <v>24758</v>
      </c>
      <c r="G32" s="12">
        <v>0</v>
      </c>
      <c r="H32" s="24">
        <f t="shared" si="2"/>
        <v>655034</v>
      </c>
      <c r="L32" s="2"/>
    </row>
    <row r="33" spans="1:8">
      <c r="A33" s="10">
        <f t="shared" si="0"/>
        <v>27</v>
      </c>
      <c r="B33" s="10"/>
      <c r="C33" s="16" t="s">
        <v>38</v>
      </c>
      <c r="D33" s="12">
        <v>0</v>
      </c>
      <c r="E33" s="12">
        <v>0</v>
      </c>
      <c r="F33" s="12">
        <v>888000</v>
      </c>
      <c r="G33" s="12">
        <v>0</v>
      </c>
      <c r="H33" s="24">
        <f t="shared" si="2"/>
        <v>888000</v>
      </c>
    </row>
    <row r="34" spans="1:8">
      <c r="A34" s="10">
        <f t="shared" si="0"/>
        <v>28</v>
      </c>
      <c r="B34" s="10"/>
      <c r="C34" s="16" t="s">
        <v>39</v>
      </c>
      <c r="D34" s="12">
        <v>0</v>
      </c>
      <c r="E34" s="12">
        <v>52800</v>
      </c>
      <c r="F34" s="12">
        <v>182358</v>
      </c>
      <c r="G34" s="12">
        <v>0</v>
      </c>
      <c r="H34" s="24">
        <f t="shared" si="2"/>
        <v>235158</v>
      </c>
    </row>
    <row r="35" spans="1:8">
      <c r="A35" s="10">
        <f t="shared" si="0"/>
        <v>29</v>
      </c>
      <c r="B35" s="10"/>
      <c r="C35" s="16" t="s">
        <v>40</v>
      </c>
      <c r="D35" s="12">
        <v>0</v>
      </c>
      <c r="E35" s="12">
        <v>0</v>
      </c>
      <c r="F35" s="12">
        <v>6450</v>
      </c>
      <c r="G35" s="12">
        <v>0</v>
      </c>
      <c r="H35" s="24">
        <f t="shared" si="2"/>
        <v>6450</v>
      </c>
    </row>
    <row r="36" spans="1:8">
      <c r="A36" s="10">
        <f t="shared" si="0"/>
        <v>30</v>
      </c>
      <c r="B36" s="10"/>
      <c r="C36" s="16" t="s">
        <v>41</v>
      </c>
      <c r="D36" s="12">
        <v>0</v>
      </c>
      <c r="E36" s="12">
        <v>0</v>
      </c>
      <c r="F36" s="12">
        <v>0</v>
      </c>
      <c r="G36" s="12">
        <v>0</v>
      </c>
      <c r="H36" s="24">
        <f t="shared" si="2"/>
        <v>0</v>
      </c>
    </row>
    <row r="37" spans="1:8">
      <c r="A37" s="10">
        <f t="shared" si="0"/>
        <v>31</v>
      </c>
      <c r="B37" s="10"/>
      <c r="C37" s="16" t="s">
        <v>42</v>
      </c>
      <c r="D37" s="12">
        <v>0</v>
      </c>
      <c r="E37" s="12">
        <v>0</v>
      </c>
      <c r="F37" s="12">
        <v>0</v>
      </c>
      <c r="G37" s="12">
        <v>0</v>
      </c>
      <c r="H37" s="24">
        <f t="shared" si="2"/>
        <v>0</v>
      </c>
    </row>
    <row r="38" spans="1:8" ht="45">
      <c r="A38" s="10">
        <f t="shared" si="0"/>
        <v>32</v>
      </c>
      <c r="B38" s="10"/>
      <c r="C38" s="27" t="s">
        <v>43</v>
      </c>
      <c r="D38" s="12">
        <v>0</v>
      </c>
      <c r="E38" s="12">
        <f>40000</f>
        <v>40000</v>
      </c>
      <c r="F38" s="12">
        <f>76200+91440</f>
        <v>167640</v>
      </c>
      <c r="G38" s="12">
        <v>0</v>
      </c>
      <c r="H38" s="24">
        <f t="shared" si="2"/>
        <v>207640</v>
      </c>
    </row>
    <row r="39" spans="1:8">
      <c r="A39" s="10">
        <f t="shared" si="0"/>
        <v>33</v>
      </c>
      <c r="B39" s="10"/>
      <c r="C39" s="16" t="s">
        <v>44</v>
      </c>
      <c r="D39" s="12">
        <v>0</v>
      </c>
      <c r="E39" s="12">
        <v>0</v>
      </c>
      <c r="F39" s="12">
        <v>0</v>
      </c>
      <c r="G39" s="12"/>
      <c r="H39" s="24">
        <f t="shared" si="2"/>
        <v>0</v>
      </c>
    </row>
    <row r="40" spans="1:8">
      <c r="A40" s="10">
        <f t="shared" ref="A40:A71" si="3">A39+1</f>
        <v>34</v>
      </c>
      <c r="B40" s="10"/>
      <c r="C40" s="16" t="s">
        <v>45</v>
      </c>
      <c r="D40" s="12">
        <f>61355+11136</f>
        <v>72491</v>
      </c>
      <c r="E40" s="12">
        <f>15890+14152</f>
        <v>30042</v>
      </c>
      <c r="F40" s="12">
        <f>8075+147660</f>
        <v>155735</v>
      </c>
      <c r="G40" s="12">
        <v>0</v>
      </c>
      <c r="H40" s="24">
        <f t="shared" si="2"/>
        <v>258268</v>
      </c>
    </row>
    <row r="41" spans="1:8">
      <c r="A41" s="10">
        <f t="shared" si="3"/>
        <v>35</v>
      </c>
      <c r="B41" s="10"/>
      <c r="C41" s="16" t="s">
        <v>46</v>
      </c>
      <c r="D41" s="12">
        <v>0</v>
      </c>
      <c r="E41" s="12">
        <v>66821</v>
      </c>
      <c r="F41" s="12">
        <v>0</v>
      </c>
      <c r="G41" s="12">
        <v>0</v>
      </c>
      <c r="H41" s="24">
        <f t="shared" si="2"/>
        <v>66821</v>
      </c>
    </row>
    <row r="42" spans="1:8">
      <c r="A42" s="10">
        <f t="shared" si="3"/>
        <v>36</v>
      </c>
      <c r="B42" s="10"/>
      <c r="C42" s="16" t="s">
        <v>47</v>
      </c>
      <c r="D42" s="12">
        <v>0</v>
      </c>
      <c r="E42" s="12">
        <v>55500</v>
      </c>
      <c r="F42" s="12">
        <v>19050</v>
      </c>
      <c r="G42" s="12">
        <v>0</v>
      </c>
      <c r="H42" s="24">
        <f t="shared" si="2"/>
        <v>74550</v>
      </c>
    </row>
    <row r="43" spans="1:8">
      <c r="A43" s="10">
        <f t="shared" si="3"/>
        <v>37</v>
      </c>
      <c r="B43" s="10"/>
      <c r="C43" s="16" t="s">
        <v>48</v>
      </c>
      <c r="D43" s="12">
        <v>0</v>
      </c>
      <c r="E43" s="12">
        <v>265460</v>
      </c>
      <c r="F43" s="12">
        <v>0</v>
      </c>
      <c r="G43" s="12">
        <v>0</v>
      </c>
      <c r="H43" s="24">
        <f t="shared" si="2"/>
        <v>265460</v>
      </c>
    </row>
    <row r="44" spans="1:8">
      <c r="A44" s="10">
        <f t="shared" si="3"/>
        <v>38</v>
      </c>
      <c r="B44" s="10"/>
      <c r="C44" s="16" t="s">
        <v>49</v>
      </c>
      <c r="D44" s="12">
        <f>45000+1000000</f>
        <v>1045000</v>
      </c>
      <c r="E44" s="12">
        <f>183194+48000</f>
        <v>231194</v>
      </c>
      <c r="F44" s="12">
        <v>0</v>
      </c>
      <c r="G44" s="12">
        <v>0</v>
      </c>
      <c r="H44" s="24">
        <f t="shared" si="2"/>
        <v>1276194</v>
      </c>
    </row>
    <row r="45" spans="1:8">
      <c r="A45" s="10">
        <f t="shared" si="3"/>
        <v>39</v>
      </c>
      <c r="B45" s="10"/>
      <c r="C45" s="16"/>
      <c r="D45" s="12"/>
      <c r="E45" s="28"/>
      <c r="F45" s="28"/>
      <c r="G45" s="28"/>
      <c r="H45" s="24">
        <f t="shared" si="2"/>
        <v>0</v>
      </c>
    </row>
    <row r="46" spans="1:8">
      <c r="A46" s="10">
        <f t="shared" si="3"/>
        <v>40</v>
      </c>
      <c r="B46" s="29"/>
      <c r="C46" s="30"/>
      <c r="D46" s="12"/>
      <c r="E46" s="12"/>
      <c r="F46" s="12"/>
      <c r="G46" s="12"/>
      <c r="H46" s="24">
        <f t="shared" si="2"/>
        <v>0</v>
      </c>
    </row>
    <row r="47" spans="1:8">
      <c r="A47" s="17">
        <f t="shared" si="3"/>
        <v>41</v>
      </c>
      <c r="B47" s="17">
        <v>6</v>
      </c>
      <c r="C47" s="18" t="s">
        <v>50</v>
      </c>
      <c r="D47" s="31">
        <f>SUM(D30:D46)</f>
        <v>1117491</v>
      </c>
      <c r="E47" s="31">
        <f>SUM(E30:E46)</f>
        <v>1452861</v>
      </c>
      <c r="F47" s="31">
        <f>SUM(F30:F46)</f>
        <v>1742530</v>
      </c>
      <c r="G47" s="31">
        <f>SUM(G30:G46)</f>
        <v>0</v>
      </c>
      <c r="H47" s="31">
        <f>SUM(H30:H44)</f>
        <v>4312882</v>
      </c>
    </row>
    <row r="48" spans="1:8">
      <c r="A48" s="10">
        <f t="shared" si="3"/>
        <v>42</v>
      </c>
      <c r="B48" s="32"/>
      <c r="C48" s="16" t="s">
        <v>51</v>
      </c>
      <c r="D48" s="12">
        <v>94512</v>
      </c>
      <c r="E48" s="12">
        <v>236254</v>
      </c>
      <c r="F48" s="12">
        <v>240620</v>
      </c>
      <c r="G48" s="12">
        <v>0</v>
      </c>
      <c r="H48" s="24">
        <f>SUM(D48:G48)</f>
        <v>571386</v>
      </c>
    </row>
    <row r="49" spans="1:8">
      <c r="A49" s="10">
        <f t="shared" si="3"/>
        <v>43</v>
      </c>
      <c r="B49" s="32"/>
      <c r="C49" s="16" t="s">
        <v>52</v>
      </c>
      <c r="D49" s="12">
        <v>0</v>
      </c>
      <c r="E49" s="12">
        <v>0</v>
      </c>
      <c r="F49" s="12">
        <v>0</v>
      </c>
      <c r="G49" s="12">
        <v>0</v>
      </c>
      <c r="H49" s="24">
        <f>SUM(D49:G49)</f>
        <v>0</v>
      </c>
    </row>
    <row r="50" spans="1:8">
      <c r="A50" s="10">
        <f t="shared" si="3"/>
        <v>44</v>
      </c>
      <c r="B50" s="32"/>
      <c r="C50" s="16" t="s">
        <v>53</v>
      </c>
      <c r="D50" s="12">
        <v>40000</v>
      </c>
      <c r="E50" s="12">
        <v>0</v>
      </c>
      <c r="F50" s="12">
        <v>316776</v>
      </c>
      <c r="G50" s="12">
        <v>0</v>
      </c>
      <c r="H50" s="24">
        <f>SUM(D50:G50)</f>
        <v>356776</v>
      </c>
    </row>
    <row r="51" spans="1:8">
      <c r="A51" s="13">
        <f t="shared" si="3"/>
        <v>45</v>
      </c>
      <c r="B51" s="13">
        <v>7</v>
      </c>
      <c r="C51" s="18" t="s">
        <v>54</v>
      </c>
      <c r="D51" s="31">
        <f>SUM(D48:D50)</f>
        <v>134512</v>
      </c>
      <c r="E51" s="31">
        <f>SUM(E48:E50)</f>
        <v>236254</v>
      </c>
      <c r="F51" s="31">
        <f>SUM(F48:F50)</f>
        <v>557396</v>
      </c>
      <c r="G51" s="31">
        <f>SUM(G48:G50)</f>
        <v>0</v>
      </c>
      <c r="H51" s="31">
        <f>SUM(H48:H50)</f>
        <v>928162</v>
      </c>
    </row>
    <row r="52" spans="1:8">
      <c r="A52" s="10">
        <f t="shared" si="3"/>
        <v>46</v>
      </c>
      <c r="B52" s="10">
        <v>8</v>
      </c>
      <c r="C52" s="16" t="s">
        <v>55</v>
      </c>
      <c r="D52" s="12">
        <v>0</v>
      </c>
      <c r="E52" s="12">
        <v>0</v>
      </c>
      <c r="F52" s="12">
        <v>0</v>
      </c>
      <c r="G52" s="12">
        <v>0</v>
      </c>
      <c r="H52" s="24">
        <f>SUM(D52:G52)</f>
        <v>0</v>
      </c>
    </row>
    <row r="53" spans="1:8">
      <c r="A53" s="10">
        <f t="shared" si="3"/>
        <v>47</v>
      </c>
      <c r="B53" s="10">
        <v>9</v>
      </c>
      <c r="C53" s="16" t="s">
        <v>56</v>
      </c>
      <c r="D53" s="12">
        <v>0</v>
      </c>
      <c r="E53" s="21">
        <v>0</v>
      </c>
      <c r="F53" s="21">
        <v>0</v>
      </c>
      <c r="G53" s="20">
        <v>40674</v>
      </c>
      <c r="H53" s="24">
        <f>SUM(D53:G53)</f>
        <v>40674</v>
      </c>
    </row>
    <row r="54" spans="1:8">
      <c r="A54" s="13">
        <f t="shared" si="3"/>
        <v>48</v>
      </c>
      <c r="B54" s="17" t="s">
        <v>57</v>
      </c>
      <c r="C54" s="18" t="s">
        <v>58</v>
      </c>
      <c r="D54" s="15">
        <f>D29+D47+D51+D52+D53</f>
        <v>1252003</v>
      </c>
      <c r="E54" s="15">
        <f>E29+E47+E51+E52+E53</f>
        <v>6200336</v>
      </c>
      <c r="F54" s="15">
        <f>F29+F47+F51+F52+F53</f>
        <v>10562843</v>
      </c>
      <c r="G54" s="15">
        <f>G29+G47+G51+G52+G53</f>
        <v>40674</v>
      </c>
      <c r="H54" s="15">
        <f>H29+H47+H51+H52+H53</f>
        <v>18055856</v>
      </c>
    </row>
    <row r="55" spans="1:8">
      <c r="A55" s="10">
        <f t="shared" si="3"/>
        <v>49</v>
      </c>
      <c r="B55" s="10"/>
      <c r="C55" s="16" t="s">
        <v>59</v>
      </c>
      <c r="D55" s="12">
        <v>1406066</v>
      </c>
      <c r="E55" s="12">
        <v>1983728</v>
      </c>
      <c r="F55" s="12">
        <f>18123242</f>
        <v>18123242</v>
      </c>
      <c r="G55" s="12">
        <v>0</v>
      </c>
      <c r="H55" s="24">
        <f>SUM(D55:G55)</f>
        <v>21513036</v>
      </c>
    </row>
    <row r="56" spans="1:8">
      <c r="A56" s="10">
        <f t="shared" si="3"/>
        <v>50</v>
      </c>
      <c r="B56" s="10"/>
      <c r="C56" s="16" t="s">
        <v>60</v>
      </c>
      <c r="D56" s="12">
        <v>0</v>
      </c>
      <c r="E56" s="12">
        <v>0</v>
      </c>
      <c r="F56" s="12">
        <v>0</v>
      </c>
      <c r="G56" s="12">
        <v>0</v>
      </c>
      <c r="H56" s="24">
        <f>SUM(D56:G56)</f>
        <v>0</v>
      </c>
    </row>
    <row r="57" spans="1:8">
      <c r="A57" s="10">
        <f t="shared" si="3"/>
        <v>51</v>
      </c>
      <c r="B57" s="10"/>
      <c r="C57" s="16" t="s">
        <v>61</v>
      </c>
      <c r="D57" s="12">
        <v>0</v>
      </c>
      <c r="E57" s="12">
        <v>0</v>
      </c>
      <c r="F57" s="12">
        <v>0</v>
      </c>
      <c r="G57" s="12">
        <v>0</v>
      </c>
      <c r="H57" s="24">
        <f>SUM(D57:G57)</f>
        <v>0</v>
      </c>
    </row>
    <row r="58" spans="1:8">
      <c r="A58" s="13">
        <f t="shared" si="3"/>
        <v>52</v>
      </c>
      <c r="B58" s="17">
        <v>10</v>
      </c>
      <c r="C58" s="18" t="s">
        <v>62</v>
      </c>
      <c r="D58" s="31">
        <f>SUM(D55:D57)</f>
        <v>1406066</v>
      </c>
      <c r="E58" s="31">
        <f>SUM(E55:E57)</f>
        <v>1983728</v>
      </c>
      <c r="F58" s="31">
        <f>SUM(F55:F57)</f>
        <v>18123242</v>
      </c>
      <c r="G58" s="31">
        <f>SUM(G55:G57)</f>
        <v>0</v>
      </c>
      <c r="H58" s="31">
        <f>SUM(H55:H57)</f>
        <v>21513036</v>
      </c>
    </row>
    <row r="59" spans="1:8">
      <c r="A59" s="10">
        <f t="shared" si="3"/>
        <v>53</v>
      </c>
      <c r="B59" s="33"/>
      <c r="C59" s="16" t="s">
        <v>63</v>
      </c>
      <c r="D59" s="12">
        <v>0</v>
      </c>
      <c r="E59" s="12">
        <v>0</v>
      </c>
      <c r="F59" s="12">
        <v>242917</v>
      </c>
      <c r="G59" s="12">
        <v>0</v>
      </c>
      <c r="H59" s="24">
        <f t="shared" ref="H59:H65" si="4">SUM(D59:G59)</f>
        <v>242917</v>
      </c>
    </row>
    <row r="60" spans="1:8">
      <c r="A60" s="10">
        <f t="shared" si="3"/>
        <v>54</v>
      </c>
      <c r="B60" s="33"/>
      <c r="C60" s="16" t="s">
        <v>64</v>
      </c>
      <c r="D60" s="12">
        <v>0</v>
      </c>
      <c r="E60" s="12">
        <v>0</v>
      </c>
      <c r="F60" s="12">
        <v>65709</v>
      </c>
      <c r="G60" s="12">
        <v>0</v>
      </c>
      <c r="H60" s="24">
        <f t="shared" si="4"/>
        <v>65709</v>
      </c>
    </row>
    <row r="61" spans="1:8">
      <c r="A61" s="10">
        <f t="shared" si="3"/>
        <v>55</v>
      </c>
      <c r="B61" s="33"/>
      <c r="C61" s="16" t="s">
        <v>65</v>
      </c>
      <c r="D61" s="12">
        <v>0</v>
      </c>
      <c r="E61" s="12">
        <v>190605</v>
      </c>
      <c r="F61" s="12">
        <v>639973</v>
      </c>
      <c r="G61" s="12">
        <v>0</v>
      </c>
      <c r="H61" s="24">
        <f t="shared" si="4"/>
        <v>830578</v>
      </c>
    </row>
    <row r="62" spans="1:8">
      <c r="A62" s="10">
        <f t="shared" si="3"/>
        <v>56</v>
      </c>
      <c r="B62" s="10"/>
      <c r="C62" s="16" t="s">
        <v>66</v>
      </c>
      <c r="D62" s="12">
        <f>48000</f>
        <v>48000</v>
      </c>
      <c r="E62" s="12">
        <v>67200</v>
      </c>
      <c r="F62" s="12">
        <v>772800</v>
      </c>
      <c r="G62" s="12">
        <v>0</v>
      </c>
      <c r="H62" s="24">
        <f t="shared" si="4"/>
        <v>888000</v>
      </c>
    </row>
    <row r="63" spans="1:8">
      <c r="A63" s="10">
        <f t="shared" si="3"/>
        <v>57</v>
      </c>
      <c r="B63" s="10"/>
      <c r="C63" s="16" t="s">
        <v>67</v>
      </c>
      <c r="D63" s="12"/>
      <c r="E63" s="12">
        <v>7000</v>
      </c>
      <c r="F63" s="12">
        <v>88000</v>
      </c>
      <c r="G63" s="12">
        <v>0</v>
      </c>
      <c r="H63" s="24">
        <f t="shared" si="4"/>
        <v>95000</v>
      </c>
    </row>
    <row r="64" spans="1:8">
      <c r="A64" s="10">
        <f t="shared" si="3"/>
        <v>58</v>
      </c>
      <c r="B64" s="10"/>
      <c r="C64" s="16" t="s">
        <v>68</v>
      </c>
      <c r="D64" s="12">
        <v>0</v>
      </c>
      <c r="E64" s="12">
        <v>0</v>
      </c>
      <c r="F64" s="12">
        <v>6773</v>
      </c>
      <c r="G64" s="12">
        <v>0</v>
      </c>
      <c r="H64" s="24">
        <f t="shared" si="4"/>
        <v>6773</v>
      </c>
    </row>
    <row r="65" spans="1:9">
      <c r="A65" s="10">
        <f t="shared" si="3"/>
        <v>59</v>
      </c>
      <c r="B65" s="10"/>
      <c r="C65" s="16" t="s">
        <v>69</v>
      </c>
      <c r="D65" s="12"/>
      <c r="E65" s="12">
        <v>0</v>
      </c>
      <c r="F65" s="12">
        <v>0</v>
      </c>
      <c r="G65" s="12">
        <v>0</v>
      </c>
      <c r="H65" s="24">
        <f t="shared" si="4"/>
        <v>0</v>
      </c>
    </row>
    <row r="66" spans="1:9" ht="29.25">
      <c r="A66" s="13">
        <f t="shared" si="3"/>
        <v>60</v>
      </c>
      <c r="B66" s="17">
        <v>11</v>
      </c>
      <c r="C66" s="34" t="s">
        <v>70</v>
      </c>
      <c r="D66" s="15">
        <f>SUM(D59:D65)</f>
        <v>48000</v>
      </c>
      <c r="E66" s="15">
        <f>SUM(E59:E65)</f>
        <v>264805</v>
      </c>
      <c r="F66" s="15">
        <f>SUM(F59:F65)</f>
        <v>1816172</v>
      </c>
      <c r="G66" s="15">
        <f>SUM(G59:G65)</f>
        <v>0</v>
      </c>
      <c r="H66" s="15">
        <f>SUM(H59:H65)</f>
        <v>2128977</v>
      </c>
      <c r="I66" s="1">
        <f>1816172-F66</f>
        <v>0</v>
      </c>
    </row>
    <row r="67" spans="1:9">
      <c r="A67" s="13">
        <f t="shared" si="3"/>
        <v>61</v>
      </c>
      <c r="B67" s="17">
        <v>12</v>
      </c>
      <c r="C67" s="18" t="s">
        <v>71</v>
      </c>
      <c r="D67" s="22">
        <f>177335+7932+8496</f>
        <v>193763</v>
      </c>
      <c r="E67" s="22">
        <v>433017</v>
      </c>
      <c r="F67" s="22">
        <f>3486998+127704+360+136788</f>
        <v>3751850</v>
      </c>
      <c r="G67" s="22">
        <v>0</v>
      </c>
      <c r="H67" s="22">
        <f>SUM(D67:G67)</f>
        <v>4378630</v>
      </c>
    </row>
    <row r="68" spans="1:9">
      <c r="A68" s="13">
        <f t="shared" si="3"/>
        <v>62</v>
      </c>
      <c r="B68" s="17" t="s">
        <v>72</v>
      </c>
      <c r="C68" s="18" t="s">
        <v>73</v>
      </c>
      <c r="D68" s="19">
        <f>SUM(D58+D66+D67)</f>
        <v>1647829</v>
      </c>
      <c r="E68" s="19">
        <f>SUM(E58+E66+E67)</f>
        <v>2681550</v>
      </c>
      <c r="F68" s="19">
        <f>SUM(F58+F66+F67)</f>
        <v>23691264</v>
      </c>
      <c r="G68" s="19">
        <f>SUM(G58+G66+G67)</f>
        <v>0</v>
      </c>
      <c r="H68" s="19">
        <f>SUM(H58+H66+H67)</f>
        <v>28020643</v>
      </c>
    </row>
    <row r="69" spans="1:9">
      <c r="A69" s="13">
        <f t="shared" si="3"/>
        <v>63</v>
      </c>
      <c r="B69" s="17" t="s">
        <v>74</v>
      </c>
      <c r="C69" s="18" t="s">
        <v>75</v>
      </c>
      <c r="D69" s="22">
        <v>2362815</v>
      </c>
      <c r="E69" s="35">
        <v>286157</v>
      </c>
      <c r="F69" s="35">
        <v>268961</v>
      </c>
      <c r="G69" s="35"/>
      <c r="H69" s="22">
        <f>SUM(D69:G69)</f>
        <v>2917933</v>
      </c>
    </row>
    <row r="70" spans="1:9">
      <c r="A70" s="10">
        <f t="shared" si="3"/>
        <v>64</v>
      </c>
      <c r="B70" s="32"/>
      <c r="C70" s="16" t="s">
        <v>76</v>
      </c>
      <c r="D70" s="12">
        <v>4118652</v>
      </c>
      <c r="E70" s="12">
        <v>0</v>
      </c>
      <c r="F70" s="12">
        <v>0</v>
      </c>
      <c r="G70" s="12">
        <v>0</v>
      </c>
      <c r="H70" s="24">
        <f>SUM(D70:G70)</f>
        <v>4118652</v>
      </c>
    </row>
    <row r="71" spans="1:9">
      <c r="A71" s="10">
        <f t="shared" si="3"/>
        <v>65</v>
      </c>
      <c r="B71" s="32"/>
      <c r="C71" s="16" t="s">
        <v>77</v>
      </c>
      <c r="D71" s="12">
        <v>0</v>
      </c>
      <c r="E71" s="12">
        <v>0</v>
      </c>
      <c r="F71" s="12">
        <v>0</v>
      </c>
      <c r="G71" s="12">
        <v>0</v>
      </c>
      <c r="H71" s="24">
        <f>SUM(D71:G71)</f>
        <v>0</v>
      </c>
    </row>
    <row r="72" spans="1:9">
      <c r="A72" s="10">
        <f t="shared" ref="A72:A96" si="5">A71+1</f>
        <v>66</v>
      </c>
      <c r="B72" s="32"/>
      <c r="C72" s="16" t="s">
        <v>78</v>
      </c>
      <c r="D72" s="12">
        <v>3576870</v>
      </c>
      <c r="E72" s="12">
        <f>1006+12129558</f>
        <v>12130564</v>
      </c>
      <c r="F72" s="12">
        <f>4000+68</f>
        <v>4068</v>
      </c>
      <c r="G72" s="12">
        <v>0</v>
      </c>
      <c r="H72" s="24">
        <f>SUM(D72:G72)</f>
        <v>15711502</v>
      </c>
    </row>
    <row r="73" spans="1:9">
      <c r="A73" s="13">
        <f t="shared" si="5"/>
        <v>67</v>
      </c>
      <c r="B73" s="17" t="s">
        <v>79</v>
      </c>
      <c r="C73" s="18" t="s">
        <v>80</v>
      </c>
      <c r="D73" s="31">
        <f>D70+D71+D72</f>
        <v>7695522</v>
      </c>
      <c r="E73" s="31">
        <f>E70+E71+E72</f>
        <v>12130564</v>
      </c>
      <c r="F73" s="31">
        <f>F72+F71+F70</f>
        <v>4068</v>
      </c>
      <c r="G73" s="31">
        <f>SUM(G70:G72)</f>
        <v>0</v>
      </c>
      <c r="H73" s="31">
        <f>SUM(H70:H72)</f>
        <v>19830154</v>
      </c>
    </row>
    <row r="74" spans="1:9">
      <c r="A74" s="10">
        <f t="shared" si="5"/>
        <v>68</v>
      </c>
      <c r="B74" s="10"/>
      <c r="C74" s="16" t="s">
        <v>81</v>
      </c>
      <c r="D74" s="12">
        <v>3576870</v>
      </c>
      <c r="E74" s="12">
        <v>12129558</v>
      </c>
      <c r="F74" s="12"/>
      <c r="G74" s="12"/>
      <c r="H74" s="24">
        <f>SUM(D74:G74)</f>
        <v>15706428</v>
      </c>
    </row>
    <row r="75" spans="1:9" ht="29.25">
      <c r="A75" s="13">
        <f t="shared" si="5"/>
        <v>69</v>
      </c>
      <c r="B75" s="36" t="s">
        <v>82</v>
      </c>
      <c r="C75" s="34" t="s">
        <v>83</v>
      </c>
      <c r="D75" s="15">
        <f>D10+D13+D19-D54-D68-D69-D73</f>
        <v>-1207753</v>
      </c>
      <c r="E75" s="15">
        <f>E10-E13+E19-E54-E68-E69-E73</f>
        <v>855101</v>
      </c>
      <c r="F75" s="15">
        <f>F10+F13+F19-F54-F68-F69-F73</f>
        <v>-106535</v>
      </c>
      <c r="G75" s="15">
        <f>G10+G13+G19-G54-G68-G69-G73</f>
        <v>728144</v>
      </c>
      <c r="H75" s="15">
        <f>H10-H13+H19-H54-H68-H69-H73</f>
        <v>268957</v>
      </c>
    </row>
    <row r="76" spans="1:9">
      <c r="A76" s="10">
        <f t="shared" si="5"/>
        <v>70</v>
      </c>
      <c r="B76" s="10">
        <v>13</v>
      </c>
      <c r="C76" s="16" t="s">
        <v>84</v>
      </c>
      <c r="D76" s="12"/>
      <c r="E76" s="12"/>
      <c r="F76" s="12"/>
      <c r="G76" s="12"/>
      <c r="H76" s="24">
        <f t="shared" ref="H76:H84" si="6">SUM(D76:G76)</f>
        <v>0</v>
      </c>
    </row>
    <row r="77" spans="1:9">
      <c r="A77" s="10">
        <f t="shared" si="5"/>
        <v>71</v>
      </c>
      <c r="B77" s="10"/>
      <c r="C77" s="16" t="s">
        <v>85</v>
      </c>
      <c r="D77" s="12"/>
      <c r="E77" s="12"/>
      <c r="F77" s="12"/>
      <c r="G77" s="12"/>
      <c r="H77" s="24">
        <f t="shared" si="6"/>
        <v>0</v>
      </c>
      <c r="I77" s="37"/>
    </row>
    <row r="78" spans="1:9">
      <c r="A78" s="10">
        <f t="shared" si="5"/>
        <v>72</v>
      </c>
      <c r="B78" s="10">
        <v>14</v>
      </c>
      <c r="C78" s="16" t="s">
        <v>86</v>
      </c>
      <c r="D78" s="12"/>
      <c r="E78" s="12"/>
      <c r="F78" s="12"/>
      <c r="G78" s="12"/>
      <c r="H78" s="24">
        <f t="shared" si="6"/>
        <v>0</v>
      </c>
      <c r="I78" s="38"/>
    </row>
    <row r="79" spans="1:9">
      <c r="A79" s="10">
        <f t="shared" si="5"/>
        <v>73</v>
      </c>
      <c r="B79" s="10"/>
      <c r="C79" s="16" t="s">
        <v>85</v>
      </c>
      <c r="D79" s="12"/>
      <c r="E79" s="12"/>
      <c r="F79" s="12"/>
      <c r="G79" s="12"/>
      <c r="H79" s="24">
        <f t="shared" si="6"/>
        <v>0</v>
      </c>
      <c r="I79" s="38"/>
    </row>
    <row r="80" spans="1:9">
      <c r="A80" s="10">
        <f t="shared" si="5"/>
        <v>74</v>
      </c>
      <c r="B80" s="10">
        <v>15</v>
      </c>
      <c r="C80" s="16" t="s">
        <v>87</v>
      </c>
      <c r="D80" s="12"/>
      <c r="E80" s="12"/>
      <c r="F80" s="12"/>
      <c r="G80" s="12"/>
      <c r="H80" s="24">
        <f t="shared" si="6"/>
        <v>0</v>
      </c>
    </row>
    <row r="81" spans="1:9">
      <c r="A81" s="10">
        <f t="shared" si="5"/>
        <v>75</v>
      </c>
      <c r="B81" s="39"/>
      <c r="C81" s="16" t="s">
        <v>85</v>
      </c>
      <c r="D81" s="12"/>
      <c r="E81" s="12"/>
      <c r="F81" s="12"/>
      <c r="G81" s="12"/>
      <c r="H81" s="24">
        <f t="shared" si="6"/>
        <v>0</v>
      </c>
      <c r="I81" s="37"/>
    </row>
    <row r="82" spans="1:9">
      <c r="A82" s="10">
        <f t="shared" si="5"/>
        <v>76</v>
      </c>
      <c r="B82" s="10">
        <v>16</v>
      </c>
      <c r="C82" s="16" t="s">
        <v>88</v>
      </c>
      <c r="D82" s="12">
        <v>110</v>
      </c>
      <c r="E82" s="12">
        <v>262</v>
      </c>
      <c r="F82" s="12">
        <v>65</v>
      </c>
      <c r="G82" s="12"/>
      <c r="H82" s="24">
        <f t="shared" si="6"/>
        <v>437</v>
      </c>
    </row>
    <row r="83" spans="1:9">
      <c r="A83" s="10">
        <f t="shared" si="5"/>
        <v>77</v>
      </c>
      <c r="B83" s="10"/>
      <c r="C83" s="40" t="s">
        <v>85</v>
      </c>
      <c r="D83" s="12"/>
      <c r="E83" s="12"/>
      <c r="F83" s="12"/>
      <c r="G83" s="12"/>
      <c r="H83" s="24">
        <f t="shared" si="6"/>
        <v>0</v>
      </c>
      <c r="I83" s="41"/>
    </row>
    <row r="84" spans="1:9">
      <c r="A84" s="10">
        <f t="shared" si="5"/>
        <v>78</v>
      </c>
      <c r="B84" s="10">
        <v>17</v>
      </c>
      <c r="C84" s="11" t="s">
        <v>89</v>
      </c>
      <c r="D84" s="12"/>
      <c r="E84" s="12"/>
      <c r="F84" s="12"/>
      <c r="G84" s="12"/>
      <c r="H84" s="24">
        <f t="shared" si="6"/>
        <v>0</v>
      </c>
    </row>
    <row r="85" spans="1:9">
      <c r="A85" s="13">
        <f t="shared" si="5"/>
        <v>79</v>
      </c>
      <c r="B85" s="17" t="s">
        <v>90</v>
      </c>
      <c r="C85" s="14" t="s">
        <v>91</v>
      </c>
      <c r="D85" s="15">
        <f>+D76+D78+D80+D82+D84</f>
        <v>110</v>
      </c>
      <c r="E85" s="15">
        <f>+E76+E78+E80+E82+E84</f>
        <v>262</v>
      </c>
      <c r="F85" s="15">
        <f>+F76+F78+F80+F82+F84</f>
        <v>65</v>
      </c>
      <c r="G85" s="15">
        <f>+G76+G78+G80+G82+G84</f>
        <v>0</v>
      </c>
      <c r="H85" s="15">
        <f>+H76+H78+H80+H82+H84</f>
        <v>437</v>
      </c>
      <c r="I85" s="41"/>
    </row>
    <row r="86" spans="1:9">
      <c r="A86" s="10">
        <f t="shared" si="5"/>
        <v>80</v>
      </c>
      <c r="B86" s="10">
        <v>19</v>
      </c>
      <c r="C86" s="11" t="s">
        <v>92</v>
      </c>
      <c r="D86" s="12"/>
      <c r="E86" s="12"/>
      <c r="F86" s="12"/>
      <c r="G86" s="12"/>
      <c r="H86" s="24">
        <f t="shared" ref="H86:H91" si="7">SUM(D86:G86)</f>
        <v>0</v>
      </c>
    </row>
    <row r="87" spans="1:9">
      <c r="A87" s="10">
        <f t="shared" si="5"/>
        <v>81</v>
      </c>
      <c r="B87" s="10"/>
      <c r="C87" s="40" t="s">
        <v>93</v>
      </c>
      <c r="D87" s="12"/>
      <c r="E87" s="12"/>
      <c r="F87" s="12"/>
      <c r="G87" s="12"/>
      <c r="H87" s="24">
        <f t="shared" si="7"/>
        <v>0</v>
      </c>
    </row>
    <row r="88" spans="1:9">
      <c r="A88" s="10">
        <f t="shared" si="5"/>
        <v>82</v>
      </c>
      <c r="B88" s="10">
        <v>20</v>
      </c>
      <c r="C88" s="40" t="s">
        <v>94</v>
      </c>
      <c r="D88" s="12"/>
      <c r="E88" s="21"/>
      <c r="F88" s="21"/>
      <c r="G88" s="21"/>
      <c r="H88" s="24">
        <f t="shared" si="7"/>
        <v>0</v>
      </c>
    </row>
    <row r="89" spans="1:9">
      <c r="A89" s="10">
        <f t="shared" si="5"/>
        <v>83</v>
      </c>
      <c r="B89" s="10"/>
      <c r="C89" s="40" t="s">
        <v>93</v>
      </c>
      <c r="D89" s="12"/>
      <c r="E89" s="12"/>
      <c r="F89" s="12"/>
      <c r="G89" s="12"/>
      <c r="H89" s="24">
        <f t="shared" si="7"/>
        <v>0</v>
      </c>
    </row>
    <row r="90" spans="1:9">
      <c r="A90" s="10">
        <f t="shared" si="5"/>
        <v>84</v>
      </c>
      <c r="B90" s="10">
        <v>21</v>
      </c>
      <c r="C90" s="11" t="s">
        <v>95</v>
      </c>
      <c r="D90" s="12"/>
      <c r="E90" s="12"/>
      <c r="F90" s="12"/>
      <c r="G90" s="12"/>
      <c r="H90" s="24">
        <f t="shared" si="7"/>
        <v>0</v>
      </c>
    </row>
    <row r="91" spans="1:9">
      <c r="A91" s="10">
        <f t="shared" si="5"/>
        <v>85</v>
      </c>
      <c r="B91" s="10">
        <v>22</v>
      </c>
      <c r="C91" s="40" t="s">
        <v>96</v>
      </c>
      <c r="D91" s="12"/>
      <c r="E91" s="12"/>
      <c r="F91" s="12"/>
      <c r="G91" s="12"/>
      <c r="H91" s="24">
        <f t="shared" si="7"/>
        <v>0</v>
      </c>
    </row>
    <row r="92" spans="1:9">
      <c r="A92" s="13">
        <f t="shared" si="5"/>
        <v>86</v>
      </c>
      <c r="B92" s="17" t="s">
        <v>97</v>
      </c>
      <c r="C92" s="14" t="s">
        <v>98</v>
      </c>
      <c r="D92" s="15">
        <f>+D86+D88+D90+D91</f>
        <v>0</v>
      </c>
      <c r="E92" s="15">
        <f>+E86+E88+E90+E91</f>
        <v>0</v>
      </c>
      <c r="F92" s="15">
        <f>+F86+F88+F90+F91</f>
        <v>0</v>
      </c>
      <c r="G92" s="15">
        <f>+G86+G88+G90+G91</f>
        <v>0</v>
      </c>
      <c r="H92" s="15">
        <f>+H86+H88+H90+H91</f>
        <v>0</v>
      </c>
    </row>
    <row r="93" spans="1:9">
      <c r="A93" s="13">
        <f t="shared" si="5"/>
        <v>87</v>
      </c>
      <c r="B93" s="17" t="s">
        <v>99</v>
      </c>
      <c r="C93" s="14" t="s">
        <v>100</v>
      </c>
      <c r="D93" s="15">
        <f>+D85-D92</f>
        <v>110</v>
      </c>
      <c r="E93" s="15">
        <f>+E85-E92</f>
        <v>262</v>
      </c>
      <c r="F93" s="15">
        <f>+F85-F92</f>
        <v>65</v>
      </c>
      <c r="G93" s="15">
        <f>+G85-G92</f>
        <v>0</v>
      </c>
      <c r="H93" s="15">
        <f>+H85-H92</f>
        <v>437</v>
      </c>
    </row>
    <row r="94" spans="1:9">
      <c r="A94" s="13">
        <f t="shared" si="5"/>
        <v>88</v>
      </c>
      <c r="B94" s="42" t="s">
        <v>101</v>
      </c>
      <c r="C94" s="43" t="s">
        <v>102</v>
      </c>
      <c r="D94" s="15">
        <f>+D75+D93</f>
        <v>-1207643</v>
      </c>
      <c r="E94" s="15">
        <f>+E75+E93</f>
        <v>855363</v>
      </c>
      <c r="F94" s="15">
        <f>+F75+F93</f>
        <v>-106470</v>
      </c>
      <c r="G94" s="15">
        <f>+G75+G93</f>
        <v>728144</v>
      </c>
      <c r="H94" s="15">
        <f>+H75+H93</f>
        <v>269394</v>
      </c>
    </row>
    <row r="95" spans="1:9">
      <c r="A95" s="10">
        <f t="shared" si="5"/>
        <v>89</v>
      </c>
      <c r="B95" s="44" t="s">
        <v>103</v>
      </c>
      <c r="C95" s="45" t="s">
        <v>104</v>
      </c>
      <c r="D95" s="12"/>
      <c r="E95" s="46"/>
      <c r="F95" s="46"/>
      <c r="G95" s="46"/>
      <c r="H95" s="61"/>
    </row>
    <row r="96" spans="1:9">
      <c r="A96" s="13">
        <f t="shared" si="5"/>
        <v>90</v>
      </c>
      <c r="B96" s="17" t="s">
        <v>105</v>
      </c>
      <c r="C96" s="18" t="s">
        <v>106</v>
      </c>
      <c r="D96" s="15">
        <f>D94-D95</f>
        <v>-1207643</v>
      </c>
      <c r="E96" s="15">
        <f>E94-E95</f>
        <v>855363</v>
      </c>
      <c r="F96" s="15">
        <f>F94-F95</f>
        <v>-106470</v>
      </c>
      <c r="G96" s="15">
        <f>G94-G95</f>
        <v>728144</v>
      </c>
      <c r="H96" s="15">
        <f>H94-H95</f>
        <v>269394</v>
      </c>
    </row>
    <row r="97" spans="1:8">
      <c r="A97" s="57"/>
      <c r="B97" s="47"/>
      <c r="C97" s="48"/>
      <c r="D97" s="49"/>
      <c r="E97" s="49"/>
      <c r="F97" s="49"/>
      <c r="G97" s="49"/>
      <c r="H97" s="50"/>
    </row>
    <row r="98" spans="1:8">
      <c r="A98" s="51"/>
      <c r="B98" s="65" t="s">
        <v>107</v>
      </c>
      <c r="C98" s="65"/>
      <c r="D98" s="49"/>
      <c r="E98" s="49"/>
      <c r="F98" s="49"/>
      <c r="G98" s="52"/>
      <c r="H98" s="50"/>
    </row>
    <row r="99" spans="1:8">
      <c r="F99" s="56"/>
      <c r="G99" s="56"/>
    </row>
  </sheetData>
  <mergeCells count="3">
    <mergeCell ref="A1:H1"/>
    <mergeCell ref="A2:H2"/>
    <mergeCell ref="B98:C98"/>
  </mergeCells>
  <pageMargins left="0.70866141732283472" right="0.70866141732283472" top="0.74803149606299213" bottom="0.74803149606299213" header="0.51181102362204722" footer="0.51181102362204722"/>
  <pageSetup paperSize="9" scale="65" firstPageNumber="0" fitToWidth="3" orientation="portrait" r:id="rId1"/>
  <headerFooter>
    <oddFooter>&amp;L1. meléléklet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MK29"/>
  <sheetViews>
    <sheetView zoomScaleNormal="100" zoomScalePageLayoutView="60" workbookViewId="0"/>
  </sheetViews>
  <sheetFormatPr defaultRowHeight="15"/>
  <cols>
    <col min="1" max="2" width="8.25" style="1"/>
    <col min="3" max="3" width="16.5" style="1"/>
    <col min="4" max="1025" width="8.25" style="1"/>
  </cols>
  <sheetData>
    <row r="5" spans="2:13">
      <c r="C5" s="1" t="s">
        <v>108</v>
      </c>
      <c r="D5" s="1" t="s">
        <v>109</v>
      </c>
      <c r="E5" s="1">
        <v>13</v>
      </c>
      <c r="F5" s="1" t="s">
        <v>110</v>
      </c>
      <c r="H5" s="1" t="s">
        <v>111</v>
      </c>
      <c r="I5" s="1" t="s">
        <v>112</v>
      </c>
      <c r="J5" s="1" t="s">
        <v>113</v>
      </c>
    </row>
    <row r="6" spans="2:13">
      <c r="B6" s="1">
        <v>1</v>
      </c>
      <c r="I6" s="53"/>
    </row>
    <row r="7" spans="2:13">
      <c r="B7" s="1">
        <v>2</v>
      </c>
      <c r="I7" s="53"/>
      <c r="K7" s="1">
        <f>SUM(H7:J7)</f>
        <v>0</v>
      </c>
      <c r="M7" s="1">
        <f>K7/12</f>
        <v>0</v>
      </c>
    </row>
    <row r="8" spans="2:13">
      <c r="B8" s="1">
        <v>3</v>
      </c>
      <c r="I8" s="53"/>
    </row>
    <row r="9" spans="2:13">
      <c r="B9" s="1">
        <v>4</v>
      </c>
      <c r="I9" s="53"/>
    </row>
    <row r="10" spans="2:13">
      <c r="B10" s="1">
        <v>5</v>
      </c>
      <c r="I10" s="53"/>
    </row>
    <row r="11" spans="2:13">
      <c r="B11" s="1">
        <v>6</v>
      </c>
      <c r="I11" s="53"/>
    </row>
    <row r="12" spans="2:13">
      <c r="B12" s="1">
        <v>7</v>
      </c>
      <c r="I12" s="53"/>
    </row>
    <row r="13" spans="2:13">
      <c r="B13" s="1">
        <v>8</v>
      </c>
      <c r="I13" s="53"/>
    </row>
    <row r="14" spans="2:13">
      <c r="B14" s="1">
        <v>9</v>
      </c>
      <c r="I14" s="53"/>
    </row>
    <row r="15" spans="2:13">
      <c r="B15" s="1">
        <v>10</v>
      </c>
      <c r="I15" s="53"/>
    </row>
    <row r="16" spans="2:13">
      <c r="B16" s="1">
        <v>11</v>
      </c>
      <c r="I16" s="53"/>
    </row>
    <row r="17" spans="2:12">
      <c r="B17" s="1">
        <v>12</v>
      </c>
      <c r="I17" s="53"/>
    </row>
    <row r="18" spans="2:12">
      <c r="B18" s="1">
        <v>13</v>
      </c>
      <c r="I18" s="53"/>
    </row>
    <row r="19" spans="2:12">
      <c r="B19" s="1">
        <v>14</v>
      </c>
      <c r="I19" s="53"/>
    </row>
    <row r="20" spans="2:12">
      <c r="B20" s="1">
        <v>15</v>
      </c>
      <c r="I20" s="53"/>
    </row>
    <row r="21" spans="2:12">
      <c r="I21" s="53"/>
    </row>
    <row r="22" spans="2:12">
      <c r="I22" s="53"/>
    </row>
    <row r="23" spans="2:12">
      <c r="E23" s="54"/>
      <c r="F23" s="2"/>
      <c r="G23" s="2"/>
      <c r="H23" s="54"/>
      <c r="I23" s="54"/>
      <c r="J23" s="54"/>
    </row>
    <row r="24" spans="2:12">
      <c r="E24" s="54"/>
      <c r="F24" s="2"/>
      <c r="G24" s="2"/>
      <c r="I24" s="2"/>
    </row>
    <row r="25" spans="2:12">
      <c r="E25" s="54"/>
      <c r="F25" s="2"/>
      <c r="G25" s="2"/>
      <c r="I25" s="2"/>
    </row>
    <row r="26" spans="2:12">
      <c r="E26" s="2"/>
      <c r="F26" s="2"/>
      <c r="G26" s="2"/>
      <c r="I26" s="2"/>
      <c r="L26" s="1">
        <f>E23+E24+E25+H23+I23+J23</f>
        <v>0</v>
      </c>
    </row>
    <row r="27" spans="2:12">
      <c r="E27" s="2"/>
      <c r="F27" s="2"/>
      <c r="G27" s="2"/>
      <c r="I27" s="55"/>
    </row>
    <row r="29" spans="2:12">
      <c r="B29" s="1">
        <v>16</v>
      </c>
      <c r="I29" s="53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2017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2017-11-21T07:53:48Z</cp:lastPrinted>
  <dcterms:created xsi:type="dcterms:W3CDTF">2017-11-10T07:09:09Z</dcterms:created>
  <dcterms:modified xsi:type="dcterms:W3CDTF">2017-11-23T12:10:42Z</dcterms:modified>
</cp:coreProperties>
</file>