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01. - Jegyzőkönyv\2026\05. - Május\Testületi anyagok\5. napirend - 2025. évi zárszámadás\"/>
    </mc:Choice>
  </mc:AlternateContent>
  <bookViews>
    <workbookView xWindow="-120" yWindow="-120" windowWidth="29040" windowHeight="15720" tabRatio="724" activeTab="19"/>
  </bookViews>
  <sheets>
    <sheet name="1." sheetId="1" r:id="rId1"/>
    <sheet name="2." sheetId="2" r:id="rId2"/>
    <sheet name="3." sheetId="3" r:id="rId3"/>
    <sheet name="4." sheetId="4" r:id="rId4"/>
    <sheet name="5." sheetId="5" r:id="rId5"/>
    <sheet name="6." sheetId="6" r:id="rId6"/>
    <sheet name="7." sheetId="7" r:id="rId7"/>
    <sheet name="8." sheetId="24" r:id="rId8"/>
    <sheet name="9." sheetId="9" r:id="rId9"/>
    <sheet name="10." sheetId="10" r:id="rId10"/>
    <sheet name="11." sheetId="11" r:id="rId11"/>
    <sheet name="12." sheetId="12" r:id="rId12"/>
    <sheet name="13." sheetId="13" r:id="rId13"/>
    <sheet name="14." sheetId="14" r:id="rId14"/>
    <sheet name="15." sheetId="33" r:id="rId15"/>
    <sheet name="16." sheetId="16" r:id="rId16"/>
    <sheet name="17." sheetId="17" r:id="rId17"/>
    <sheet name="18." sheetId="18" r:id="rId18"/>
    <sheet name="19." sheetId="34" r:id="rId19"/>
    <sheet name="20" sheetId="35" r:id="rId20"/>
    <sheet name="21" sheetId="36" r:id="rId21"/>
    <sheet name="22." sheetId="29" r:id="rId22"/>
  </sheets>
  <definedNames>
    <definedName name="_xlnm._FilterDatabase" localSheetId="18" hidden="1">'19.'!$C$3:$C$1355</definedName>
    <definedName name="_xlnm._FilterDatabase" localSheetId="4" hidden="1">'5.'!$B$1:$B$162</definedName>
    <definedName name="_xlnm.Print_Area" localSheetId="0">'1.'!$A$1:$E$157</definedName>
    <definedName name="_xlnm.Print_Area" localSheetId="9">'10.'!$A$1:$H$25</definedName>
    <definedName name="_xlnm.Print_Area" localSheetId="10">'11.'!$A$1:$E$38</definedName>
    <definedName name="_xlnm.Print_Area" localSheetId="11">'12.'!$A$1:$F$157</definedName>
    <definedName name="_xlnm.Print_Area" localSheetId="12">'13.'!$A$1:$F$107</definedName>
    <definedName name="_xlnm.Print_Area" localSheetId="16">'17.'!$A$1:$I$27</definedName>
    <definedName name="_xlnm.Print_Area" localSheetId="1">'2.'!$A$1:$V$29</definedName>
    <definedName name="_xlnm.Print_Area" localSheetId="19">'20'!$A$1:$G$21</definedName>
    <definedName name="_xlnm.Print_Area" localSheetId="20">'21'!$B$1:$I$34,'21'!$K$15</definedName>
    <definedName name="_xlnm.Print_Area" localSheetId="2">'3.'!$A$1:$F$36</definedName>
    <definedName name="_xlnm.Print_Area" localSheetId="3">'4.'!$A$1:$V$34</definedName>
    <definedName name="_xlnm.Print_Area" localSheetId="4">'5.'!$A$1:$G$164</definedName>
    <definedName name="_xlnm.Print_Area" localSheetId="5">'6.'!$A$1:$H$18</definedName>
    <definedName name="_xlnm.Print_Area" localSheetId="6">'7.'!$A$1:$J$44</definedName>
    <definedName name="_xlnm.Print_Area" localSheetId="8">'9.'!$A$1:$H$69</definedName>
    <definedName name="Print_Area_0" localSheetId="0">'1.'!$A$1:$E$157</definedName>
    <definedName name="Print_Area_0" localSheetId="9">'10.'!$A$1:$I$11</definedName>
    <definedName name="Print_Area_0" localSheetId="10">'11.'!$A$1:$C$38</definedName>
    <definedName name="Print_Area_0" localSheetId="11">'12.'!$A$1:$G$157</definedName>
    <definedName name="Print_Area_0" localSheetId="12">'13.'!$A$1:$F$107</definedName>
    <definedName name="Print_Area_0" localSheetId="1">'2.'!$A$1:$Z$29</definedName>
    <definedName name="Print_Area_0" localSheetId="2">'3.'!$A$1:$F$36</definedName>
    <definedName name="Print_Area_0" localSheetId="3">'4.'!$A$1:$W$33</definedName>
    <definedName name="Print_Area_0" localSheetId="4">'5.'!$B$1:$G$164</definedName>
    <definedName name="Print_Area_0" localSheetId="5">'6.'!$A$1:$H$18</definedName>
    <definedName name="Print_Area_0" localSheetId="6">'7.'!$A$1:$J$44</definedName>
    <definedName name="Print_Area_0" localSheetId="8">'9.'!$A$1:$H$69</definedName>
    <definedName name="Print_Area_0_0" localSheetId="0">'1.'!$A$1:$E$157</definedName>
    <definedName name="Print_Area_0_0" localSheetId="9">'10.'!$A$1:$I$11</definedName>
    <definedName name="Print_Area_0_0" localSheetId="10">'11.'!$A$1:$C$38</definedName>
    <definedName name="Print_Area_0_0" localSheetId="11">'12.'!$A$1:$G$157</definedName>
    <definedName name="Print_Area_0_0" localSheetId="12">'13.'!$A$1:$F$107</definedName>
    <definedName name="Print_Area_0_0" localSheetId="1">'2.'!$A$1:$Z$29</definedName>
    <definedName name="Print_Area_0_0" localSheetId="2">'3.'!$A$1:$F$36</definedName>
    <definedName name="Print_Area_0_0" localSheetId="3">'4.'!$A$1:$W$33</definedName>
    <definedName name="Print_Area_0_0" localSheetId="4">'5.'!$B$1:$G$164</definedName>
    <definedName name="Print_Area_0_0" localSheetId="5">'6.'!$A$1:$H$18</definedName>
    <definedName name="Print_Area_0_0" localSheetId="6">'7.'!$A$1:$J$44</definedName>
    <definedName name="Print_Area_0_0" localSheetId="8">'9.'!$A$1:$H$69</definedName>
    <definedName name="Print_Area_0_0_0" localSheetId="0">'1.'!$A$1:$E$157</definedName>
    <definedName name="Print_Area_0_0_0" localSheetId="9">'10.'!$A$1:$I$11</definedName>
    <definedName name="Print_Area_0_0_0" localSheetId="10">'11.'!$A$1:$C$38</definedName>
    <definedName name="Print_Area_0_0_0" localSheetId="11">'12.'!$A$1:$G$157</definedName>
    <definedName name="Print_Area_0_0_0" localSheetId="12">'13.'!$A$1:$F$107</definedName>
    <definedName name="Print_Area_0_0_0" localSheetId="1">'2.'!$A$1:$Z$29</definedName>
    <definedName name="Print_Area_0_0_0" localSheetId="2">'3.'!$A$1:$F$36</definedName>
    <definedName name="Print_Area_0_0_0" localSheetId="3">'4.'!$A$1:$W$33</definedName>
    <definedName name="Print_Area_0_0_0" localSheetId="4">'5.'!$B$1:$G$164</definedName>
    <definedName name="Print_Area_0_0_0" localSheetId="5">'6.'!$A$1:$H$18</definedName>
    <definedName name="Print_Area_0_0_0" localSheetId="6">'7.'!$A$1:$J$44</definedName>
    <definedName name="Print_Area_0_0_0" localSheetId="8">'9.'!$A$1:$H$69</definedName>
    <definedName name="Print_Area_0_0_0_0" localSheetId="0">'1.'!$A$1:$E$157</definedName>
    <definedName name="Print_Area_0_0_0_0" localSheetId="9">'10.'!$A$1:$I$11</definedName>
    <definedName name="Print_Area_0_0_0_0" localSheetId="10">'11.'!$A$1:$C$38</definedName>
    <definedName name="Print_Area_0_0_0_0" localSheetId="11">'12.'!$A$1:$G$157</definedName>
    <definedName name="Print_Area_0_0_0_0" localSheetId="12">'13.'!$A$1:$F$107</definedName>
    <definedName name="Print_Area_0_0_0_0" localSheetId="1">'2.'!$A$1:$Z$29</definedName>
    <definedName name="Print_Area_0_0_0_0" localSheetId="2">'3.'!$A$1:$F$36</definedName>
    <definedName name="Print_Area_0_0_0_0" localSheetId="3">'4.'!$A$1:$W$33</definedName>
    <definedName name="Print_Area_0_0_0_0" localSheetId="4">'5.'!$B$1:$G$164</definedName>
    <definedName name="Print_Area_0_0_0_0" localSheetId="5">'6.'!$A$1:$H$18</definedName>
    <definedName name="Print_Area_0_0_0_0" localSheetId="6">'7.'!$A$1:$J$44</definedName>
    <definedName name="Print_Area_0_0_0_0" localSheetId="8">'9.'!$A$1:$H$69</definedName>
    <definedName name="Print_Area_0_0_0_0_0" localSheetId="0">'1.'!$A$1:$E$157</definedName>
    <definedName name="Print_Area_0_0_0_0_0" localSheetId="9">'10.'!$A$1:$I$11</definedName>
    <definedName name="Print_Area_0_0_0_0_0" localSheetId="10">'11.'!$A$1:$C$38</definedName>
    <definedName name="Print_Area_0_0_0_0_0" localSheetId="11">'12.'!$A$1:$G$157</definedName>
    <definedName name="Print_Area_0_0_0_0_0" localSheetId="12">'13.'!$A$1:$F$107</definedName>
    <definedName name="Print_Area_0_0_0_0_0" localSheetId="1">'2.'!$A$1:$Z$29</definedName>
    <definedName name="Print_Area_0_0_0_0_0" localSheetId="2">'3.'!$A$1:$F$36</definedName>
    <definedName name="Print_Area_0_0_0_0_0" localSheetId="3">'4.'!$A$1:$W$33</definedName>
    <definedName name="Print_Area_0_0_0_0_0" localSheetId="4">'5.'!$B$1:$G$164</definedName>
    <definedName name="Print_Area_0_0_0_0_0" localSheetId="5">'6.'!$A$1:$H$18</definedName>
    <definedName name="Print_Area_0_0_0_0_0" localSheetId="6">'7.'!$A$1:$J$44</definedName>
    <definedName name="Print_Area_0_0_0_0_0" localSheetId="8">'9.'!$A$1:$H$69</definedName>
    <definedName name="Print_Area_0_0_0_0_0_0" localSheetId="0">'1.'!$A$1:$E$157</definedName>
    <definedName name="Print_Area_0_0_0_0_0_0" localSheetId="9">'10.'!$A$1:$I$11</definedName>
    <definedName name="Print_Area_0_0_0_0_0_0" localSheetId="10">'11.'!$A$1:$C$38</definedName>
    <definedName name="Print_Area_0_0_0_0_0_0" localSheetId="11">'12.'!$A$1:$G$157</definedName>
    <definedName name="Print_Area_0_0_0_0_0_0" localSheetId="12">'13.'!$A$1:$F$107</definedName>
    <definedName name="Print_Area_0_0_0_0_0_0" localSheetId="1">'2.'!$A$1:$Z$29</definedName>
    <definedName name="Print_Area_0_0_0_0_0_0" localSheetId="2">'3.'!$A$1:$F$36</definedName>
    <definedName name="Print_Area_0_0_0_0_0_0" localSheetId="3">'4.'!$A$1:$W$33</definedName>
    <definedName name="Print_Area_0_0_0_0_0_0" localSheetId="4">'5.'!$B$1:$G$164</definedName>
    <definedName name="Print_Area_0_0_0_0_0_0" localSheetId="5">'6.'!$A$1:$H$18</definedName>
    <definedName name="Print_Area_0_0_0_0_0_0" localSheetId="6">'7.'!$A$1:$J$44</definedName>
    <definedName name="Print_Area_0_0_0_0_0_0" localSheetId="8">'9.'!$A$1:$H$69</definedName>
    <definedName name="Print_Area_0_0_0_0_0_0_0" localSheetId="0">'1.'!$A$1:$E$157</definedName>
    <definedName name="Print_Area_0_0_0_0_0_0_0" localSheetId="9">'10.'!$A$1:$I$11</definedName>
    <definedName name="Print_Area_0_0_0_0_0_0_0" localSheetId="10">'11.'!$A$1:$C$38</definedName>
    <definedName name="Print_Area_0_0_0_0_0_0_0" localSheetId="11">'12.'!$A$1:$G$157</definedName>
    <definedName name="Print_Area_0_0_0_0_0_0_0" localSheetId="12">'13.'!$A$1:$F$107</definedName>
    <definedName name="Print_Area_0_0_0_0_0_0_0" localSheetId="1">'2.'!$A$1:$Z$29</definedName>
    <definedName name="Print_Area_0_0_0_0_0_0_0" localSheetId="2">'3.'!$A$1:$F$36</definedName>
    <definedName name="Print_Area_0_0_0_0_0_0_0" localSheetId="3">'4.'!$A$1:$W$33</definedName>
    <definedName name="Print_Area_0_0_0_0_0_0_0" localSheetId="4">'5.'!$B$1:$G$164</definedName>
    <definedName name="Print_Area_0_0_0_0_0_0_0" localSheetId="5">'6.'!$A$1:$H$18</definedName>
    <definedName name="Print_Area_0_0_0_0_0_0_0" localSheetId="6">'7.'!$A$1:$J$44</definedName>
    <definedName name="Print_Area_0_0_0_0_0_0_0" localSheetId="8">'9.'!$A$1:$H$69</definedName>
    <definedName name="Print_Area_0_0_0_0_0_0_0_0" localSheetId="0">'1.'!$A$1:$E$157</definedName>
    <definedName name="Print_Area_0_0_0_0_0_0_0_0" localSheetId="9">'10.'!$A$1:$I$11</definedName>
    <definedName name="Print_Area_0_0_0_0_0_0_0_0" localSheetId="10">'11.'!$A$1:$C$38</definedName>
    <definedName name="Print_Area_0_0_0_0_0_0_0_0" localSheetId="11">'12.'!$A$1:$G$157</definedName>
    <definedName name="Print_Area_0_0_0_0_0_0_0_0" localSheetId="12">'13.'!$A$1:$F$107</definedName>
    <definedName name="Print_Area_0_0_0_0_0_0_0_0" localSheetId="1">'2.'!$A$1:$Z$29</definedName>
    <definedName name="Print_Area_0_0_0_0_0_0_0_0" localSheetId="2">'3.'!$A$1:$F$36</definedName>
    <definedName name="Print_Area_0_0_0_0_0_0_0_0" localSheetId="3">'4.'!$A$1:$W$33</definedName>
    <definedName name="Print_Area_0_0_0_0_0_0_0_0" localSheetId="4">'5.'!$B$1:$G$164</definedName>
    <definedName name="Print_Area_0_0_0_0_0_0_0_0" localSheetId="5">'6.'!$A$1:$H$18</definedName>
    <definedName name="Print_Area_0_0_0_0_0_0_0_0" localSheetId="6">'7.'!$A$1:$J$44</definedName>
    <definedName name="Print_Area_0_0_0_0_0_0_0_0" localSheetId="8">'9.'!$A$1:$H$69</definedName>
    <definedName name="Print_Area_0_0_0_0_0_0_0_0_0" localSheetId="0">'1.'!$A$1:$E$157</definedName>
    <definedName name="Print_Area_0_0_0_0_0_0_0_0_0" localSheetId="9">'10.'!$A$1:$I$11</definedName>
    <definedName name="Print_Area_0_0_0_0_0_0_0_0_0" localSheetId="10">'11.'!$A$1:$C$38</definedName>
    <definedName name="Print_Area_0_0_0_0_0_0_0_0_0" localSheetId="11">'12.'!$A$1:$G$157</definedName>
    <definedName name="Print_Area_0_0_0_0_0_0_0_0_0" localSheetId="12">'13.'!$A$1:$F$107</definedName>
    <definedName name="Print_Area_0_0_0_0_0_0_0_0_0" localSheetId="1">'2.'!$A$1:$Z$29</definedName>
    <definedName name="Print_Area_0_0_0_0_0_0_0_0_0" localSheetId="2">'3.'!$A$1:$F$36</definedName>
    <definedName name="Print_Area_0_0_0_0_0_0_0_0_0" localSheetId="3">'4.'!$A$1:$W$33</definedName>
    <definedName name="Print_Area_0_0_0_0_0_0_0_0_0" localSheetId="4">'5.'!$B$1:$G$164</definedName>
    <definedName name="Print_Area_0_0_0_0_0_0_0_0_0" localSheetId="5">'6.'!$A$1:$H$18</definedName>
    <definedName name="Print_Area_0_0_0_0_0_0_0_0_0" localSheetId="6">'7.'!$A$1:$J$44</definedName>
    <definedName name="Print_Area_0_0_0_0_0_0_0_0_0" localSheetId="8">'9.'!$A$1:$H$69</definedName>
    <definedName name="Print_Area_0_0_0_0_0_0_0_0_0_0" localSheetId="0">'1.'!$A$1:$E$157</definedName>
    <definedName name="Print_Area_0_0_0_0_0_0_0_0_0_0" localSheetId="9">'10.'!$A$1:$I$11</definedName>
    <definedName name="Print_Area_0_0_0_0_0_0_0_0_0_0" localSheetId="10">'11.'!$A$1:$C$38</definedName>
    <definedName name="Print_Area_0_0_0_0_0_0_0_0_0_0" localSheetId="11">'12.'!$A$1:$G$157</definedName>
    <definedName name="Print_Area_0_0_0_0_0_0_0_0_0_0" localSheetId="12">'13.'!$A$1:$F$107</definedName>
    <definedName name="Print_Area_0_0_0_0_0_0_0_0_0_0" localSheetId="1">'2.'!$A$1:$Z$29</definedName>
    <definedName name="Print_Area_0_0_0_0_0_0_0_0_0_0" localSheetId="2">'3.'!$A$1:$F$36</definedName>
    <definedName name="Print_Area_0_0_0_0_0_0_0_0_0_0" localSheetId="3">'4.'!$A$1:$W$33</definedName>
    <definedName name="Print_Area_0_0_0_0_0_0_0_0_0_0" localSheetId="4">'5.'!$B$1:$G$164</definedName>
    <definedName name="Print_Area_0_0_0_0_0_0_0_0_0_0" localSheetId="5">'6.'!$A$1:$H$18</definedName>
    <definedName name="Print_Area_0_0_0_0_0_0_0_0_0_0" localSheetId="6">'7.'!$A$1:$J$44</definedName>
    <definedName name="Print_Area_0_0_0_0_0_0_0_0_0_0" localSheetId="8">'9.'!$A$1:$H$69</definedName>
    <definedName name="Print_Area_0_0_0_0_0_0_0_0_0_0_0" localSheetId="0">'1.'!$A$1:$E$157</definedName>
    <definedName name="Print_Area_0_0_0_0_0_0_0_0_0_0_0" localSheetId="9">'10.'!$A$1:$I$11</definedName>
    <definedName name="Print_Area_0_0_0_0_0_0_0_0_0_0_0" localSheetId="10">'11.'!$A$1:$C$38</definedName>
    <definedName name="Print_Area_0_0_0_0_0_0_0_0_0_0_0" localSheetId="11">'12.'!$A$1:$G$157</definedName>
    <definedName name="Print_Area_0_0_0_0_0_0_0_0_0_0_0" localSheetId="12">'13.'!$A$1:$F$107</definedName>
    <definedName name="Print_Area_0_0_0_0_0_0_0_0_0_0_0" localSheetId="1">'2.'!$A$1:$Z$29</definedName>
    <definedName name="Print_Area_0_0_0_0_0_0_0_0_0_0_0" localSheetId="2">'3.'!$A$1:$F$36</definedName>
    <definedName name="Print_Area_0_0_0_0_0_0_0_0_0_0_0" localSheetId="3">'4.'!$A$1:$W$33</definedName>
    <definedName name="Print_Area_0_0_0_0_0_0_0_0_0_0_0" localSheetId="4">'5.'!$B$1:$G$164</definedName>
    <definedName name="Print_Area_0_0_0_0_0_0_0_0_0_0_0" localSheetId="5">'6.'!$A$1:$H$18</definedName>
    <definedName name="Print_Area_0_0_0_0_0_0_0_0_0_0_0" localSheetId="6">'7.'!$A$1:$J$44</definedName>
    <definedName name="Print_Area_0_0_0_0_0_0_0_0_0_0_0" localSheetId="8">'9.'!$A$1:$H$69</definedName>
    <definedName name="Print_Area_0_0_0_0_0_0_0_0_0_0_0_0" localSheetId="0">'1.'!$A$1:$E$157</definedName>
    <definedName name="Print_Area_0_0_0_0_0_0_0_0_0_0_0_0" localSheetId="9">'10.'!$A$1:$I$11</definedName>
    <definedName name="Print_Area_0_0_0_0_0_0_0_0_0_0_0_0" localSheetId="10">'11.'!$A$1:$C$38</definedName>
    <definedName name="Print_Area_0_0_0_0_0_0_0_0_0_0_0_0" localSheetId="11">'12.'!$A$1:$G$157</definedName>
    <definedName name="Print_Area_0_0_0_0_0_0_0_0_0_0_0_0" localSheetId="12">'13.'!$A$1:$F$107</definedName>
    <definedName name="Print_Area_0_0_0_0_0_0_0_0_0_0_0_0" localSheetId="1">'2.'!$A$1:$Z$29</definedName>
    <definedName name="Print_Area_0_0_0_0_0_0_0_0_0_0_0_0" localSheetId="2">'3.'!$A$1:$F$36</definedName>
    <definedName name="Print_Area_0_0_0_0_0_0_0_0_0_0_0_0" localSheetId="3">'4.'!$A$1:$W$33</definedName>
    <definedName name="Print_Area_0_0_0_0_0_0_0_0_0_0_0_0" localSheetId="4">'5.'!$B$1:$G$164</definedName>
    <definedName name="Print_Area_0_0_0_0_0_0_0_0_0_0_0_0" localSheetId="5">'6.'!$A$1:$H$18</definedName>
    <definedName name="Print_Area_0_0_0_0_0_0_0_0_0_0_0_0" localSheetId="6">'7.'!$A$1:$J$44</definedName>
    <definedName name="Print_Area_0_0_0_0_0_0_0_0_0_0_0_0" localSheetId="8">'9.'!$A$1:$H$69</definedName>
    <definedName name="Print_Area_0_0_0_0_0_0_0_0_0_0_0_0_0" localSheetId="0">'1.'!$A$1:$E$157</definedName>
    <definedName name="Print_Area_0_0_0_0_0_0_0_0_0_0_0_0_0" localSheetId="9">'10.'!$A$1:$I$11</definedName>
    <definedName name="Print_Area_0_0_0_0_0_0_0_0_0_0_0_0_0" localSheetId="10">'11.'!$A$1:$C$38</definedName>
    <definedName name="Print_Area_0_0_0_0_0_0_0_0_0_0_0_0_0" localSheetId="11">'12.'!$A$1:$G$157</definedName>
    <definedName name="Print_Area_0_0_0_0_0_0_0_0_0_0_0_0_0" localSheetId="12">'13.'!$A$1:$F$107</definedName>
    <definedName name="Print_Area_0_0_0_0_0_0_0_0_0_0_0_0_0" localSheetId="1">'2.'!$A$1:$Z$29</definedName>
    <definedName name="Print_Area_0_0_0_0_0_0_0_0_0_0_0_0_0" localSheetId="2">'3.'!$A$1:$F$36</definedName>
    <definedName name="Print_Area_0_0_0_0_0_0_0_0_0_0_0_0_0" localSheetId="3">'4.'!$A$1:$W$33</definedName>
    <definedName name="Print_Area_0_0_0_0_0_0_0_0_0_0_0_0_0" localSheetId="4">'5.'!$B$1:$G$164</definedName>
    <definedName name="Print_Area_0_0_0_0_0_0_0_0_0_0_0_0_0" localSheetId="5">'6.'!$A$1:$H$18</definedName>
    <definedName name="Print_Area_0_0_0_0_0_0_0_0_0_0_0_0_0" localSheetId="6">'7.'!$A$1:$J$44</definedName>
    <definedName name="Print_Area_0_0_0_0_0_0_0_0_0_0_0_0_0" localSheetId="8">'9.'!$A$1:$H$69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7" i="1" l="1"/>
  <c r="G54" i="18" a="1"/>
  <c r="G54" i="18" s="1"/>
  <c r="G53" i="18"/>
  <c r="G29" i="18"/>
  <c r="G20" i="18"/>
  <c r="G19" i="18"/>
  <c r="G16" i="18"/>
  <c r="L1358" i="34"/>
  <c r="L1342" i="34"/>
  <c r="H1329" i="34"/>
  <c r="H1326" i="34"/>
  <c r="H1324" i="34"/>
  <c r="H1320" i="34"/>
  <c r="H1318" i="34"/>
  <c r="H1297" i="34"/>
  <c r="H1296" i="34"/>
  <c r="H1292" i="34"/>
  <c r="G1285" i="34"/>
  <c r="H1299" i="34" s="1"/>
  <c r="H1274" i="34"/>
  <c r="H1272" i="34"/>
  <c r="H1267" i="34"/>
  <c r="H1254" i="34"/>
  <c r="H1243" i="34"/>
  <c r="H1235" i="34"/>
  <c r="H927" i="34"/>
  <c r="H1257" i="34" s="1"/>
  <c r="H742" i="34"/>
  <c r="H733" i="34"/>
  <c r="H728" i="34"/>
  <c r="H690" i="34"/>
  <c r="H681" i="34"/>
  <c r="H461" i="34"/>
  <c r="H410" i="34"/>
  <c r="H321" i="34"/>
  <c r="H745" i="34" s="1"/>
  <c r="H307" i="34"/>
  <c r="H300" i="34"/>
  <c r="H268" i="34"/>
  <c r="G13" i="18" s="1"/>
  <c r="H232" i="34"/>
  <c r="H206" i="34"/>
  <c r="H310" i="34" s="1"/>
  <c r="L169" i="34"/>
  <c r="L160" i="34"/>
  <c r="H144" i="34"/>
  <c r="H137" i="34"/>
  <c r="H147" i="34" s="1"/>
  <c r="H149" i="34" s="1"/>
  <c r="L122" i="34"/>
  <c r="L116" i="34"/>
  <c r="H104" i="34"/>
  <c r="H106" i="34" s="1"/>
  <c r="L88" i="34"/>
  <c r="L83" i="34"/>
  <c r="H70" i="34"/>
  <c r="H72" i="34" s="1"/>
  <c r="H67" i="34"/>
  <c r="H61" i="34"/>
  <c r="L47" i="34"/>
  <c r="L41" i="34"/>
  <c r="L33" i="34"/>
  <c r="H19" i="34"/>
  <c r="H22" i="34" s="1"/>
  <c r="H12" i="34"/>
  <c r="L72" i="18"/>
  <c r="G69" i="18"/>
  <c r="F69" i="18"/>
  <c r="G60" i="18"/>
  <c r="G59" i="18"/>
  <c r="F59" i="18"/>
  <c r="G51" i="18"/>
  <c r="F51" i="18"/>
  <c r="F37" i="18"/>
  <c r="M18" i="18"/>
  <c r="L18" i="18"/>
  <c r="M12" i="18"/>
  <c r="M72" i="18" s="1"/>
  <c r="L12" i="18"/>
  <c r="G11" i="18"/>
  <c r="F11" i="18"/>
  <c r="F55" i="18" s="1"/>
  <c r="F72" i="18" s="1"/>
  <c r="K76" i="14"/>
  <c r="V28" i="2"/>
  <c r="U28" i="2"/>
  <c r="V27" i="2"/>
  <c r="V29" i="2"/>
  <c r="E43" i="13"/>
  <c r="D43" i="13"/>
  <c r="C43" i="13"/>
  <c r="F73" i="12"/>
  <c r="E46" i="12"/>
  <c r="D46" i="12"/>
  <c r="C46" i="12"/>
  <c r="J129" i="5"/>
  <c r="K129" i="5"/>
  <c r="F11" i="6"/>
  <c r="H63" i="14"/>
  <c r="C12" i="14"/>
  <c r="D12" i="14"/>
  <c r="D13" i="14" s="1"/>
  <c r="E13" i="14"/>
  <c r="F13" i="14"/>
  <c r="E12" i="14"/>
  <c r="F12" i="14"/>
  <c r="H12" i="14"/>
  <c r="I12" i="14"/>
  <c r="J12" i="14"/>
  <c r="K12" i="14"/>
  <c r="H13" i="14"/>
  <c r="I13" i="14"/>
  <c r="J13" i="14"/>
  <c r="K13" i="14"/>
  <c r="G13" i="14"/>
  <c r="G12" i="14"/>
  <c r="M33" i="14"/>
  <c r="L33" i="14"/>
  <c r="F33" i="14"/>
  <c r="G33" i="14"/>
  <c r="H33" i="14"/>
  <c r="I33" i="14"/>
  <c r="J33" i="14"/>
  <c r="K33" i="14"/>
  <c r="E33" i="14"/>
  <c r="D33" i="14"/>
  <c r="C33" i="14"/>
  <c r="E63" i="14"/>
  <c r="F63" i="14"/>
  <c r="G63" i="14"/>
  <c r="I63" i="14"/>
  <c r="J63" i="14"/>
  <c r="K63" i="14"/>
  <c r="L63" i="14"/>
  <c r="D63" i="14"/>
  <c r="C63" i="14"/>
  <c r="E41" i="14"/>
  <c r="F41" i="14"/>
  <c r="G41" i="14"/>
  <c r="H41" i="14"/>
  <c r="I41" i="14"/>
  <c r="J41" i="14"/>
  <c r="L41" i="14"/>
  <c r="D41" i="14"/>
  <c r="K40" i="14"/>
  <c r="K41" i="14" s="1"/>
  <c r="C40" i="14"/>
  <c r="C41" i="14" s="1"/>
  <c r="L39" i="14"/>
  <c r="M39" i="14" s="1"/>
  <c r="G55" i="14"/>
  <c r="C58" i="14"/>
  <c r="G37" i="18" l="1"/>
  <c r="G55" i="18" s="1"/>
  <c r="G72" i="18" s="1"/>
  <c r="H1310" i="34"/>
  <c r="H24" i="34"/>
  <c r="H1308" i="34"/>
  <c r="H1301" i="34"/>
  <c r="H1312" i="34"/>
  <c r="M40" i="14"/>
  <c r="M41" i="14" s="1"/>
  <c r="L12" i="14"/>
  <c r="M66" i="14"/>
  <c r="M19" i="14"/>
  <c r="M7" i="14"/>
  <c r="M9" i="14" s="1"/>
  <c r="M13" i="14" s="1"/>
  <c r="M31" i="14"/>
  <c r="H1305" i="34" l="1"/>
  <c r="M24" i="14"/>
  <c r="M8" i="14"/>
  <c r="C7" i="14"/>
  <c r="C57" i="14"/>
  <c r="M52" i="14"/>
  <c r="M53" i="14"/>
  <c r="M57" i="14"/>
  <c r="M58" i="14"/>
  <c r="M59" i="14"/>
  <c r="C8" i="14"/>
  <c r="D16" i="14"/>
  <c r="M16" i="14" s="1"/>
  <c r="F51" i="5" l="1"/>
  <c r="F44" i="5"/>
  <c r="G63" i="9"/>
  <c r="F63" i="9"/>
  <c r="F66" i="9" s="1"/>
  <c r="F65" i="9"/>
  <c r="G65" i="9"/>
  <c r="E65" i="9"/>
  <c r="E63" i="9"/>
  <c r="F62" i="9"/>
  <c r="G62" i="9"/>
  <c r="G66" i="9" s="1"/>
  <c r="E62" i="9"/>
  <c r="E66" i="9" s="1"/>
  <c r="E60" i="9"/>
  <c r="F60" i="9"/>
  <c r="G60" i="9"/>
  <c r="E61" i="9"/>
  <c r="F61" i="9"/>
  <c r="G61" i="9"/>
  <c r="S28" i="2"/>
  <c r="T27" i="4"/>
  <c r="U31" i="4"/>
  <c r="T31" i="4"/>
  <c r="F14" i="6"/>
  <c r="F13" i="6"/>
  <c r="F10" i="6"/>
  <c r="R11" i="2" l="1"/>
  <c r="Q11" i="2"/>
  <c r="B138" i="1" l="1"/>
  <c r="G12" i="33"/>
  <c r="E12" i="33"/>
  <c r="D12" i="33"/>
  <c r="C12" i="33"/>
  <c r="F7" i="33"/>
  <c r="F6" i="33"/>
  <c r="F12" i="33" s="1"/>
  <c r="D84" i="1"/>
  <c r="D71" i="1"/>
  <c r="E70" i="1"/>
  <c r="C71" i="1"/>
  <c r="E69" i="1"/>
  <c r="E107" i="12"/>
  <c r="Q12" i="2"/>
  <c r="E28" i="11"/>
  <c r="D24" i="11"/>
  <c r="C24" i="11"/>
  <c r="E24" i="11"/>
  <c r="E23" i="11"/>
  <c r="E17" i="11"/>
  <c r="E18" i="11" s="1"/>
  <c r="D18" i="11"/>
  <c r="C18" i="11"/>
  <c r="S22" i="4"/>
  <c r="F146" i="5"/>
  <c r="F15" i="35" l="1"/>
  <c r="G15" i="35" s="1"/>
  <c r="G14" i="35"/>
  <c r="F14" i="35"/>
  <c r="F13" i="35"/>
  <c r="F12" i="35"/>
  <c r="F11" i="35"/>
  <c r="D7" i="35"/>
  <c r="C7" i="35"/>
  <c r="E6" i="35"/>
  <c r="F6" i="35" s="1"/>
  <c r="G6" i="35" s="1"/>
  <c r="D6" i="35"/>
  <c r="E5" i="35"/>
  <c r="E7" i="35" s="1"/>
  <c r="D5" i="35"/>
  <c r="I27" i="36"/>
  <c r="H27" i="36"/>
  <c r="H26" i="36"/>
  <c r="I26" i="36" s="1"/>
  <c r="I28" i="36" s="1"/>
  <c r="H25" i="36"/>
  <c r="F17" i="36"/>
  <c r="E17" i="36"/>
  <c r="H17" i="36" s="1"/>
  <c r="I16" i="36"/>
  <c r="I17" i="36" s="1"/>
  <c r="I30" i="36" s="1"/>
  <c r="H16" i="36"/>
  <c r="G16" i="36"/>
  <c r="H15" i="36"/>
  <c r="G15" i="36"/>
  <c r="H14" i="36"/>
  <c r="G14" i="36"/>
  <c r="H13" i="36"/>
  <c r="G13" i="36"/>
  <c r="D13" i="36"/>
  <c r="H12" i="36"/>
  <c r="G12" i="36"/>
  <c r="H11" i="36"/>
  <c r="G11" i="36"/>
  <c r="H10" i="36"/>
  <c r="G10" i="36"/>
  <c r="D10" i="36"/>
  <c r="H9" i="36"/>
  <c r="G9" i="36"/>
  <c r="H8" i="36"/>
  <c r="G8" i="36"/>
  <c r="H7" i="36"/>
  <c r="G7" i="36"/>
  <c r="D7" i="36"/>
  <c r="D17" i="36" s="1"/>
  <c r="H6" i="36"/>
  <c r="G6" i="36"/>
  <c r="G16" i="35" l="1"/>
  <c r="F5" i="35"/>
  <c r="J26" i="36"/>
  <c r="G17" i="36"/>
  <c r="F7" i="35" l="1"/>
  <c r="G5" i="35"/>
  <c r="G7" i="35" s="1"/>
  <c r="G18" i="35" s="1"/>
  <c r="D118" i="12" l="1"/>
  <c r="F117" i="12"/>
  <c r="F115" i="12"/>
  <c r="C109" i="12"/>
  <c r="C118" i="12" s="1"/>
  <c r="F91" i="12" l="1"/>
  <c r="E98" i="12"/>
  <c r="D105" i="12"/>
  <c r="F105" i="12" s="1"/>
  <c r="D103" i="12"/>
  <c r="D102" i="12"/>
  <c r="D101" i="12"/>
  <c r="D100" i="12"/>
  <c r="D99" i="12"/>
  <c r="E77" i="12" l="1"/>
  <c r="D77" i="12"/>
  <c r="C77" i="12"/>
  <c r="F61" i="12"/>
  <c r="F57" i="13"/>
  <c r="E51" i="5"/>
  <c r="E79" i="5"/>
  <c r="E70" i="5"/>
  <c r="E49" i="5"/>
  <c r="G49" i="5" s="1"/>
  <c r="E45" i="5"/>
  <c r="G45" i="5" s="1"/>
  <c r="F20" i="4"/>
  <c r="C145" i="12"/>
  <c r="G10" i="5"/>
  <c r="G11" i="5"/>
  <c r="G12" i="5"/>
  <c r="G13" i="5"/>
  <c r="G14" i="5"/>
  <c r="G15" i="5"/>
  <c r="G16" i="5"/>
  <c r="G17" i="5"/>
  <c r="G18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6" i="5"/>
  <c r="G47" i="5"/>
  <c r="G48" i="5"/>
  <c r="G51" i="5"/>
  <c r="G52" i="5"/>
  <c r="G53" i="5"/>
  <c r="G54" i="5"/>
  <c r="G55" i="5"/>
  <c r="G57" i="5"/>
  <c r="G58" i="5"/>
  <c r="G59" i="5"/>
  <c r="G61" i="5"/>
  <c r="G62" i="5"/>
  <c r="G63" i="5"/>
  <c r="G64" i="5"/>
  <c r="G65" i="5"/>
  <c r="G66" i="5"/>
  <c r="G68" i="5"/>
  <c r="G69" i="5"/>
  <c r="G70" i="5"/>
  <c r="G72" i="5"/>
  <c r="G73" i="5"/>
  <c r="G76" i="5"/>
  <c r="G77" i="5"/>
  <c r="G78" i="5"/>
  <c r="G79" i="5"/>
  <c r="G80" i="5"/>
  <c r="H54" i="5"/>
  <c r="H79" i="5"/>
  <c r="H36" i="5"/>
  <c r="E36" i="5"/>
  <c r="I55" i="5"/>
  <c r="F55" i="5"/>
  <c r="F78" i="5"/>
  <c r="I78" i="5"/>
  <c r="H32" i="5"/>
  <c r="I13" i="5"/>
  <c r="F129" i="5" l="1"/>
  <c r="I128" i="5"/>
  <c r="F128" i="5" s="1"/>
  <c r="I129" i="5"/>
  <c r="H132" i="5"/>
  <c r="H129" i="5"/>
  <c r="E129" i="5"/>
  <c r="H9" i="5" l="1"/>
  <c r="I9" i="5" s="1"/>
  <c r="F9" i="5" s="1"/>
  <c r="H118" i="5"/>
  <c r="I146" i="5"/>
  <c r="F147" i="5" s="1"/>
  <c r="D88" i="5"/>
  <c r="E88" i="5"/>
  <c r="H87" i="5"/>
  <c r="H88" i="5" s="1"/>
  <c r="I85" i="5"/>
  <c r="I104" i="5"/>
  <c r="F104" i="5" s="1"/>
  <c r="E109" i="5"/>
  <c r="D109" i="5"/>
  <c r="I106" i="5"/>
  <c r="F106" i="5" s="1"/>
  <c r="I101" i="5"/>
  <c r="F101" i="5" s="1"/>
  <c r="H108" i="5"/>
  <c r="I108" i="5" s="1"/>
  <c r="F108" i="5" s="1"/>
  <c r="H107" i="5"/>
  <c r="I107" i="5" s="1"/>
  <c r="F107" i="5" s="1"/>
  <c r="I103" i="5"/>
  <c r="F103" i="5" s="1"/>
  <c r="I102" i="5"/>
  <c r="F102" i="5" s="1"/>
  <c r="I116" i="5"/>
  <c r="F116" i="5" s="1"/>
  <c r="G116" i="5" s="1"/>
  <c r="I117" i="5"/>
  <c r="F117" i="5" s="1"/>
  <c r="G117" i="5" s="1"/>
  <c r="I114" i="5"/>
  <c r="F114" i="5" s="1"/>
  <c r="G114" i="5" s="1"/>
  <c r="I113" i="5"/>
  <c r="F113" i="5" s="1"/>
  <c r="H95" i="5"/>
  <c r="H93" i="5"/>
  <c r="I93" i="5" s="1"/>
  <c r="F93" i="5" s="1"/>
  <c r="G93" i="5" s="1"/>
  <c r="I95" i="5"/>
  <c r="F95" i="5" s="1"/>
  <c r="I133" i="5"/>
  <c r="F133" i="5" s="1"/>
  <c r="I134" i="5"/>
  <c r="F134" i="5" s="1"/>
  <c r="F140" i="5"/>
  <c r="I135" i="5"/>
  <c r="F135" i="5" s="1"/>
  <c r="I132" i="5"/>
  <c r="F132" i="5" s="1"/>
  <c r="G132" i="5" s="1"/>
  <c r="I73" i="5"/>
  <c r="H59" i="5"/>
  <c r="F13" i="5"/>
  <c r="I20" i="5"/>
  <c r="F20" i="5" s="1"/>
  <c r="I87" i="5" l="1"/>
  <c r="F87" i="5" s="1"/>
  <c r="H96" i="5"/>
  <c r="F109" i="5"/>
  <c r="F96" i="5"/>
  <c r="I88" i="5"/>
  <c r="I96" i="5"/>
  <c r="I118" i="5"/>
  <c r="F85" i="5"/>
  <c r="F118" i="5"/>
  <c r="G113" i="5"/>
  <c r="I12" i="5"/>
  <c r="F12" i="5" s="1"/>
  <c r="I69" i="5"/>
  <c r="F69" i="5" s="1"/>
  <c r="I68" i="5"/>
  <c r="F68" i="5" s="1"/>
  <c r="I37" i="5"/>
  <c r="F37" i="5" s="1"/>
  <c r="I36" i="5"/>
  <c r="F36" i="5" s="1"/>
  <c r="I24" i="5"/>
  <c r="F24" i="5" s="1"/>
  <c r="F50" i="5"/>
  <c r="H28" i="5"/>
  <c r="I28" i="5" s="1"/>
  <c r="F28" i="5" s="1"/>
  <c r="H26" i="5"/>
  <c r="I26" i="5" s="1"/>
  <c r="F26" i="5" s="1"/>
  <c r="H27" i="5"/>
  <c r="I27" i="5" s="1"/>
  <c r="F27" i="5" s="1"/>
  <c r="I35" i="5"/>
  <c r="F35" i="5" s="1"/>
  <c r="H131" i="5"/>
  <c r="I131" i="5" s="1"/>
  <c r="F131" i="5" s="1"/>
  <c r="I138" i="5"/>
  <c r="F138" i="5" s="1"/>
  <c r="H31" i="5"/>
  <c r="I31" i="5" s="1"/>
  <c r="F31" i="5" s="1"/>
  <c r="I40" i="5"/>
  <c r="I79" i="5"/>
  <c r="F79" i="5" s="1"/>
  <c r="I48" i="5"/>
  <c r="I43" i="5"/>
  <c r="F43" i="5" s="1"/>
  <c r="I77" i="5"/>
  <c r="F77" i="5" s="1"/>
  <c r="I59" i="5"/>
  <c r="F59" i="5" s="1"/>
  <c r="I70" i="5"/>
  <c r="F70" i="5" s="1"/>
  <c r="I54" i="5"/>
  <c r="F54" i="5" s="1"/>
  <c r="I44" i="5"/>
  <c r="I46" i="5"/>
  <c r="F46" i="5" s="1"/>
  <c r="I45" i="5"/>
  <c r="H76" i="5"/>
  <c r="I76" i="5" s="1"/>
  <c r="F76" i="5" s="1"/>
  <c r="I23" i="5"/>
  <c r="F23" i="5" s="1"/>
  <c r="I80" i="5"/>
  <c r="F80" i="5" s="1"/>
  <c r="H49" i="5"/>
  <c r="I49" i="5" s="1"/>
  <c r="F49" i="5" s="1"/>
  <c r="I32" i="5"/>
  <c r="F32" i="5" s="1"/>
  <c r="I51" i="5"/>
  <c r="I52" i="5"/>
  <c r="F52" i="5" s="1"/>
  <c r="I22" i="5"/>
  <c r="F22" i="5" s="1"/>
  <c r="I21" i="5"/>
  <c r="F21" i="5" s="1"/>
  <c r="I53" i="5"/>
  <c r="F53" i="5" s="1"/>
  <c r="I38" i="5"/>
  <c r="F38" i="5" s="1"/>
  <c r="H17" i="5"/>
  <c r="I17" i="5" s="1"/>
  <c r="F17" i="5" s="1"/>
  <c r="F88" i="5" l="1"/>
  <c r="G85" i="5"/>
  <c r="H72" i="5"/>
  <c r="I72" i="5" s="1"/>
  <c r="F45" i="5"/>
  <c r="E147" i="5"/>
  <c r="G147" i="5" s="1"/>
  <c r="E118" i="5"/>
  <c r="D118" i="5"/>
  <c r="E81" i="5"/>
  <c r="D81" i="5"/>
  <c r="Q25" i="2" l="1"/>
  <c r="C123" i="1"/>
  <c r="D123" i="1"/>
  <c r="C124" i="1"/>
  <c r="C125" i="1"/>
  <c r="B125" i="1"/>
  <c r="B121" i="1"/>
  <c r="B122" i="1"/>
  <c r="K37" i="14"/>
  <c r="D37" i="14"/>
  <c r="F37" i="29"/>
  <c r="E14" i="29"/>
  <c r="D95" i="13"/>
  <c r="E95" i="13"/>
  <c r="C95" i="13"/>
  <c r="C93" i="13"/>
  <c r="S16" i="4"/>
  <c r="R15" i="4"/>
  <c r="Q15" i="4"/>
  <c r="C143" i="12"/>
  <c r="G51" i="9"/>
  <c r="E18" i="9"/>
  <c r="J32" i="7"/>
  <c r="C13" i="7"/>
  <c r="Q20" i="4"/>
  <c r="M21" i="4"/>
  <c r="N21" i="4"/>
  <c r="L21" i="4"/>
  <c r="L20" i="4"/>
  <c r="E28" i="3"/>
  <c r="F154" i="5"/>
  <c r="V32" i="4" l="1"/>
  <c r="V29" i="4"/>
  <c r="U29" i="4"/>
  <c r="T29" i="4"/>
  <c r="D72" i="14" l="1"/>
  <c r="T28" i="2" l="1"/>
  <c r="D151" i="1" l="1"/>
  <c r="F19" i="29" l="1"/>
  <c r="G25" i="9"/>
  <c r="E41" i="7"/>
  <c r="E150" i="1"/>
  <c r="C151" i="1"/>
  <c r="F25" i="9" l="1"/>
  <c r="D41" i="7"/>
  <c r="E11" i="1"/>
  <c r="F104" i="12" l="1"/>
  <c r="E93" i="12"/>
  <c r="D93" i="12"/>
  <c r="D120" i="12" s="1"/>
  <c r="C93" i="12"/>
  <c r="F95" i="13"/>
  <c r="F92" i="12" l="1"/>
  <c r="E154" i="5" l="1"/>
  <c r="G106" i="5"/>
  <c r="G103" i="5"/>
  <c r="R22" i="4" l="1"/>
  <c r="D147" i="12"/>
  <c r="M20" i="4" l="1"/>
  <c r="D93" i="13"/>
  <c r="G101" i="5" l="1"/>
  <c r="G102" i="5"/>
  <c r="G136" i="5"/>
  <c r="N20" i="4" l="1"/>
  <c r="E93" i="13"/>
  <c r="G133" i="5" l="1"/>
  <c r="G135" i="5"/>
  <c r="G146" i="5"/>
  <c r="D141" i="5" l="1"/>
  <c r="Q21" i="4" l="1"/>
  <c r="L20" i="14" l="1"/>
  <c r="E48" i="16" l="1"/>
  <c r="F25" i="12" l="1"/>
  <c r="E81" i="1" l="1"/>
  <c r="E82" i="1"/>
  <c r="E66" i="1"/>
  <c r="D17" i="1"/>
  <c r="C17" i="1"/>
  <c r="B17" i="1"/>
  <c r="F55" i="12" l="1"/>
  <c r="F56" i="12"/>
  <c r="F57" i="12"/>
  <c r="F52" i="13" l="1"/>
  <c r="F53" i="13"/>
  <c r="F141" i="5" l="1"/>
  <c r="F148" i="5" s="1"/>
  <c r="E141" i="5"/>
  <c r="E148" i="5" s="1"/>
  <c r="D145" i="12" l="1"/>
  <c r="R21" i="4"/>
  <c r="U21" i="4" s="1"/>
  <c r="S21" i="4"/>
  <c r="E145" i="12"/>
  <c r="F159" i="5"/>
  <c r="E159" i="5"/>
  <c r="D159" i="5"/>
  <c r="G158" i="5"/>
  <c r="D154" i="5"/>
  <c r="G153" i="5"/>
  <c r="D148" i="5"/>
  <c r="G140" i="5"/>
  <c r="G138" i="5"/>
  <c r="G131" i="5"/>
  <c r="G130" i="5"/>
  <c r="G129" i="5"/>
  <c r="G128" i="5"/>
  <c r="E20" i="4"/>
  <c r="D20" i="4"/>
  <c r="C20" i="4"/>
  <c r="K20" i="4"/>
  <c r="J20" i="4"/>
  <c r="I20" i="4"/>
  <c r="G108" i="5"/>
  <c r="G100" i="5"/>
  <c r="H20" i="4"/>
  <c r="E96" i="5"/>
  <c r="G20" i="4" s="1"/>
  <c r="D96" i="5"/>
  <c r="G95" i="5"/>
  <c r="G87" i="5"/>
  <c r="F81" i="5"/>
  <c r="G81" i="5" s="1"/>
  <c r="C149" i="12" l="1"/>
  <c r="Q23" i="4"/>
  <c r="D143" i="12"/>
  <c r="R20" i="4"/>
  <c r="D149" i="12"/>
  <c r="R23" i="4"/>
  <c r="D26" i="3"/>
  <c r="I30" i="7"/>
  <c r="F49" i="9"/>
  <c r="E143" i="12"/>
  <c r="S20" i="4"/>
  <c r="Q22" i="4"/>
  <c r="C147" i="12"/>
  <c r="E149" i="12"/>
  <c r="S23" i="4"/>
  <c r="G118" i="5"/>
  <c r="G88" i="5"/>
  <c r="E122" i="5"/>
  <c r="E161" i="5" s="1"/>
  <c r="F122" i="5"/>
  <c r="D122" i="5"/>
  <c r="D161" i="5" s="1"/>
  <c r="G159" i="5"/>
  <c r="G109" i="5"/>
  <c r="G154" i="5"/>
  <c r="G141" i="5"/>
  <c r="G96" i="5"/>
  <c r="D151" i="12" l="1"/>
  <c r="E151" i="12"/>
  <c r="G122" i="5"/>
  <c r="F161" i="5"/>
  <c r="G161" i="5" s="1"/>
  <c r="G148" i="5"/>
  <c r="F16" i="13"/>
  <c r="F42" i="12"/>
  <c r="F26" i="12"/>
  <c r="E27" i="13" l="1"/>
  <c r="D138" i="1" l="1"/>
  <c r="E130" i="1"/>
  <c r="C132" i="1"/>
  <c r="B132" i="1"/>
  <c r="E13" i="29" l="1"/>
  <c r="E17" i="9"/>
  <c r="C30" i="7"/>
  <c r="C7" i="24"/>
  <c r="C12" i="24" s="1"/>
  <c r="F17" i="9"/>
  <c r="D30" i="7"/>
  <c r="F14" i="29"/>
  <c r="G18" i="9"/>
  <c r="E13" i="7"/>
  <c r="F95" i="12"/>
  <c r="M67" i="14" l="1"/>
  <c r="M11" i="14" l="1"/>
  <c r="M12" i="14" s="1"/>
  <c r="R14" i="4" l="1"/>
  <c r="G13" i="6" l="1"/>
  <c r="D143" i="1"/>
  <c r="S26" i="2" s="1"/>
  <c r="D132" i="1"/>
  <c r="V20" i="2"/>
  <c r="D122" i="1" s="1"/>
  <c r="D109" i="1"/>
  <c r="D10" i="24" s="1"/>
  <c r="E108" i="1"/>
  <c r="D103" i="1"/>
  <c r="D6" i="24" s="1"/>
  <c r="E100" i="1"/>
  <c r="E101" i="1"/>
  <c r="D94" i="1"/>
  <c r="E67" i="1"/>
  <c r="E68" i="1"/>
  <c r="E65" i="1"/>
  <c r="E53" i="1"/>
  <c r="D48" i="1"/>
  <c r="D42" i="1"/>
  <c r="E45" i="1"/>
  <c r="E46" i="1"/>
  <c r="E47" i="1"/>
  <c r="E37" i="1"/>
  <c r="E59" i="1"/>
  <c r="D60" i="1"/>
  <c r="D56" i="1"/>
  <c r="G11" i="6" s="1"/>
  <c r="E26" i="1"/>
  <c r="E28" i="1"/>
  <c r="E29" i="1"/>
  <c r="E31" i="1"/>
  <c r="E9" i="1"/>
  <c r="E10" i="1"/>
  <c r="E12" i="1"/>
  <c r="E13" i="1"/>
  <c r="E14" i="1"/>
  <c r="E15" i="1"/>
  <c r="E8" i="1"/>
  <c r="D19" i="1"/>
  <c r="F10" i="29" l="1"/>
  <c r="E29" i="7"/>
  <c r="G14" i="9"/>
  <c r="E132" i="1"/>
  <c r="F13" i="29"/>
  <c r="G17" i="9"/>
  <c r="H17" i="9" s="1"/>
  <c r="E30" i="7"/>
  <c r="D7" i="24"/>
  <c r="F15" i="29"/>
  <c r="E31" i="7"/>
  <c r="G19" i="9"/>
  <c r="D50" i="1"/>
  <c r="D111" i="1"/>
  <c r="G15" i="9" l="1"/>
  <c r="F11" i="29"/>
  <c r="E11" i="7"/>
  <c r="E151" i="1"/>
  <c r="B151" i="1"/>
  <c r="C143" i="1"/>
  <c r="B143" i="1"/>
  <c r="C109" i="1"/>
  <c r="E109" i="1" s="1"/>
  <c r="B109" i="1"/>
  <c r="C10" i="24" s="1"/>
  <c r="C103" i="1"/>
  <c r="B103" i="1"/>
  <c r="C6" i="24" s="1"/>
  <c r="B94" i="1"/>
  <c r="C94" i="1"/>
  <c r="C84" i="1"/>
  <c r="F18" i="9" l="1"/>
  <c r="D13" i="7"/>
  <c r="E19" i="9"/>
  <c r="E15" i="29"/>
  <c r="Q26" i="2"/>
  <c r="Q27" i="2" s="1"/>
  <c r="C31" i="7"/>
  <c r="F14" i="9"/>
  <c r="D29" i="7"/>
  <c r="E143" i="1"/>
  <c r="D31" i="7"/>
  <c r="R26" i="2"/>
  <c r="F19" i="9"/>
  <c r="E14" i="9"/>
  <c r="E10" i="29"/>
  <c r="C29" i="7"/>
  <c r="C41" i="7"/>
  <c r="E25" i="9"/>
  <c r="E19" i="29"/>
  <c r="C111" i="1"/>
  <c r="E103" i="1"/>
  <c r="B111" i="1"/>
  <c r="E71" i="1"/>
  <c r="C60" i="1"/>
  <c r="E60" i="1" s="1"/>
  <c r="B60" i="1"/>
  <c r="C56" i="1"/>
  <c r="E56" i="1" s="1"/>
  <c r="B56" i="1"/>
  <c r="C48" i="1"/>
  <c r="E48" i="1" s="1"/>
  <c r="B48" i="1"/>
  <c r="C42" i="1"/>
  <c r="B42" i="1"/>
  <c r="C33" i="1"/>
  <c r="B33" i="1"/>
  <c r="B19" i="1"/>
  <c r="E11" i="29" l="1"/>
  <c r="E15" i="9"/>
  <c r="C11" i="7"/>
  <c r="E111" i="1"/>
  <c r="D11" i="7"/>
  <c r="F15" i="9"/>
  <c r="B50" i="1"/>
  <c r="B62" i="1" s="1"/>
  <c r="B74" i="1" s="1"/>
  <c r="C50" i="1"/>
  <c r="E50" i="1" s="1"/>
  <c r="E42" i="1"/>
  <c r="C19" i="1"/>
  <c r="E19" i="1" s="1"/>
  <c r="E17" i="1"/>
  <c r="U20" i="4"/>
  <c r="T25" i="4"/>
  <c r="E55" i="9" l="1"/>
  <c r="C34" i="3"/>
  <c r="E41" i="29"/>
  <c r="H41" i="7"/>
  <c r="D25" i="3"/>
  <c r="I29" i="7"/>
  <c r="F48" i="9"/>
  <c r="C62" i="1"/>
  <c r="C74" i="1" s="1"/>
  <c r="T15" i="2"/>
  <c r="B117" i="1" s="1"/>
  <c r="D12" i="2"/>
  <c r="C12" i="2"/>
  <c r="C88" i="1" l="1"/>
  <c r="D20" i="13"/>
  <c r="D10" i="7" l="1"/>
  <c r="F13" i="9"/>
  <c r="C72" i="14"/>
  <c r="N12" i="14" l="1"/>
  <c r="E23" i="16" l="1"/>
  <c r="E64" i="12" l="1"/>
  <c r="D64" i="12"/>
  <c r="C64" i="12"/>
  <c r="F63" i="12"/>
  <c r="F62" i="12"/>
  <c r="F54" i="12"/>
  <c r="E51" i="12"/>
  <c r="D51" i="12"/>
  <c r="C51" i="12"/>
  <c r="F50" i="12"/>
  <c r="F49" i="12"/>
  <c r="F43" i="12"/>
  <c r="E60" i="13"/>
  <c r="D60" i="13"/>
  <c r="C60" i="13"/>
  <c r="F59" i="13"/>
  <c r="F58" i="13"/>
  <c r="F51" i="13"/>
  <c r="E48" i="13"/>
  <c r="D48" i="13"/>
  <c r="C48" i="13"/>
  <c r="F47" i="13"/>
  <c r="F46" i="13"/>
  <c r="F40" i="13"/>
  <c r="F41" i="13"/>
  <c r="E92" i="1" l="1"/>
  <c r="B73" i="1"/>
  <c r="T32" i="4" l="1"/>
  <c r="T28" i="4"/>
  <c r="U28" i="4"/>
  <c r="U27" i="4"/>
  <c r="V28" i="4"/>
  <c r="V27" i="4"/>
  <c r="L9" i="14" l="1"/>
  <c r="L13" i="14" s="1"/>
  <c r="G9" i="14"/>
  <c r="D9" i="14"/>
  <c r="C9" i="14"/>
  <c r="C13" i="14" l="1"/>
  <c r="N13" i="14"/>
  <c r="N9" i="14"/>
  <c r="E109" i="12" l="1"/>
  <c r="E118" i="12" s="1"/>
  <c r="F113" i="12"/>
  <c r="E120" i="12" l="1"/>
  <c r="S14" i="4" s="1"/>
  <c r="E85" i="12"/>
  <c r="S13" i="4" s="1"/>
  <c r="I17" i="29" l="1"/>
  <c r="M60" i="14" l="1"/>
  <c r="M48" i="14"/>
  <c r="C85" i="12" l="1"/>
  <c r="Q13" i="4" s="1"/>
  <c r="T13" i="4" s="1"/>
  <c r="F72" i="13"/>
  <c r="E74" i="13"/>
  <c r="E28" i="29" l="1"/>
  <c r="H13" i="7"/>
  <c r="C16" i="3"/>
  <c r="E42" i="9"/>
  <c r="I33" i="29" l="1"/>
  <c r="H33" i="29"/>
  <c r="G33" i="29"/>
  <c r="I24" i="29"/>
  <c r="H24" i="29"/>
  <c r="G24" i="29"/>
  <c r="I21" i="29"/>
  <c r="H17" i="29"/>
  <c r="H21" i="29" s="1"/>
  <c r="G17" i="29"/>
  <c r="G21" i="29" s="1"/>
  <c r="I39" i="29" l="1"/>
  <c r="I43" i="29" s="1"/>
  <c r="H39" i="29"/>
  <c r="H43" i="29" s="1"/>
  <c r="G39" i="29"/>
  <c r="G43" i="29" s="1"/>
  <c r="G12" i="24"/>
  <c r="G13" i="24" s="1"/>
  <c r="F12" i="24"/>
  <c r="F13" i="24" s="1"/>
  <c r="E12" i="24"/>
  <c r="E13" i="24" s="1"/>
  <c r="D12" i="24"/>
  <c r="D13" i="24" s="1"/>
  <c r="C13" i="24"/>
  <c r="E12" i="2"/>
  <c r="L38" i="14" l="1"/>
  <c r="L42" i="14" s="1"/>
  <c r="I24" i="17" l="1"/>
  <c r="H21" i="17"/>
  <c r="G21" i="17"/>
  <c r="F21" i="17"/>
  <c r="E21" i="17"/>
  <c r="I21" i="17" s="1"/>
  <c r="D21" i="17"/>
  <c r="I20" i="17"/>
  <c r="I19" i="17"/>
  <c r="H18" i="17"/>
  <c r="H22" i="17" s="1"/>
  <c r="G18" i="17"/>
  <c r="F18" i="17"/>
  <c r="F22" i="17" s="1"/>
  <c r="F26" i="17" s="1"/>
  <c r="E18" i="17"/>
  <c r="D18" i="17"/>
  <c r="D22" i="17" s="1"/>
  <c r="I17" i="17"/>
  <c r="I16" i="17"/>
  <c r="H14" i="17"/>
  <c r="G14" i="17"/>
  <c r="F14" i="17"/>
  <c r="E14" i="17"/>
  <c r="D14" i="17"/>
  <c r="I13" i="17"/>
  <c r="I12" i="17"/>
  <c r="H11" i="17"/>
  <c r="G11" i="17"/>
  <c r="F11" i="17"/>
  <c r="E11" i="17"/>
  <c r="D11" i="17"/>
  <c r="I10" i="17"/>
  <c r="I9" i="17"/>
  <c r="I8" i="17"/>
  <c r="E16" i="16"/>
  <c r="L72" i="14"/>
  <c r="L75" i="14" s="1"/>
  <c r="K72" i="14"/>
  <c r="J72" i="14"/>
  <c r="I72" i="14"/>
  <c r="H72" i="14"/>
  <c r="G72" i="14"/>
  <c r="F72" i="14"/>
  <c r="E72" i="14"/>
  <c r="M71" i="14"/>
  <c r="M70" i="14"/>
  <c r="M69" i="14"/>
  <c r="M68" i="14"/>
  <c r="K73" i="14"/>
  <c r="E73" i="14"/>
  <c r="M61" i="14"/>
  <c r="M62" i="14"/>
  <c r="M56" i="14"/>
  <c r="M55" i="14"/>
  <c r="M54" i="14"/>
  <c r="M51" i="14"/>
  <c r="M49" i="14"/>
  <c r="K38" i="14"/>
  <c r="K42" i="14" s="1"/>
  <c r="J38" i="14"/>
  <c r="J42" i="14" s="1"/>
  <c r="I38" i="14"/>
  <c r="I42" i="14" s="1"/>
  <c r="H38" i="14"/>
  <c r="H42" i="14" s="1"/>
  <c r="F38" i="14"/>
  <c r="F42" i="14" s="1"/>
  <c r="E38" i="14"/>
  <c r="E42" i="14" s="1"/>
  <c r="D38" i="14"/>
  <c r="D42" i="14" s="1"/>
  <c r="L36" i="14"/>
  <c r="M36" i="14" s="1"/>
  <c r="L34" i="14"/>
  <c r="M29" i="14"/>
  <c r="M32" i="14"/>
  <c r="M30" i="14"/>
  <c r="M28" i="14"/>
  <c r="M27" i="14"/>
  <c r="L25" i="14"/>
  <c r="K25" i="14"/>
  <c r="J25" i="14"/>
  <c r="I25" i="14"/>
  <c r="H25" i="14"/>
  <c r="H34" i="14" s="1"/>
  <c r="G25" i="14"/>
  <c r="F25" i="14"/>
  <c r="E25" i="14"/>
  <c r="D25" i="14"/>
  <c r="C25" i="14"/>
  <c r="M25" i="14"/>
  <c r="M34" i="14" s="1"/>
  <c r="K20" i="14"/>
  <c r="J20" i="14"/>
  <c r="I20" i="14"/>
  <c r="H20" i="14"/>
  <c r="H75" i="14" s="1"/>
  <c r="G20" i="14"/>
  <c r="F20" i="14"/>
  <c r="E20" i="14"/>
  <c r="D20" i="14"/>
  <c r="C20" i="14"/>
  <c r="M20" i="14"/>
  <c r="L18" i="14"/>
  <c r="M18" i="14" s="1"/>
  <c r="L17" i="14"/>
  <c r="K17" i="14"/>
  <c r="K21" i="14" s="1"/>
  <c r="J17" i="14"/>
  <c r="I17" i="14"/>
  <c r="H17" i="14"/>
  <c r="H74" i="14" s="1"/>
  <c r="G17" i="14"/>
  <c r="F17" i="14"/>
  <c r="E17" i="14"/>
  <c r="D17" i="14"/>
  <c r="C17" i="14"/>
  <c r="M17" i="14"/>
  <c r="M21" i="14" s="1"/>
  <c r="K9" i="14"/>
  <c r="J9" i="14"/>
  <c r="I9" i="14"/>
  <c r="H9" i="14"/>
  <c r="F9" i="14"/>
  <c r="E9" i="14"/>
  <c r="E100" i="13"/>
  <c r="D100" i="13"/>
  <c r="C100" i="13"/>
  <c r="F93" i="13"/>
  <c r="D74" i="13"/>
  <c r="C74" i="13"/>
  <c r="F73" i="13"/>
  <c r="E66" i="13"/>
  <c r="D66" i="13"/>
  <c r="C66" i="13"/>
  <c r="F64" i="13"/>
  <c r="F56" i="13"/>
  <c r="F55" i="13"/>
  <c r="E35" i="13"/>
  <c r="N11" i="4" s="1"/>
  <c r="D35" i="13"/>
  <c r="M11" i="4" s="1"/>
  <c r="C35" i="13"/>
  <c r="L11" i="4" s="1"/>
  <c r="F32" i="13"/>
  <c r="D27" i="13"/>
  <c r="C27" i="13"/>
  <c r="F25" i="13"/>
  <c r="E20" i="13"/>
  <c r="C20" i="13"/>
  <c r="F19" i="13"/>
  <c r="F17" i="13"/>
  <c r="F15" i="13"/>
  <c r="F14" i="13"/>
  <c r="F10" i="13"/>
  <c r="F9" i="13"/>
  <c r="F155" i="12"/>
  <c r="C151" i="12"/>
  <c r="F147" i="12"/>
  <c r="F145" i="12"/>
  <c r="F143" i="12"/>
  <c r="E133" i="12"/>
  <c r="D132" i="12"/>
  <c r="R16" i="4" s="1"/>
  <c r="U16" i="4" s="1"/>
  <c r="C132" i="12"/>
  <c r="F127" i="12"/>
  <c r="F126" i="12"/>
  <c r="F125" i="12"/>
  <c r="F123" i="12"/>
  <c r="C120" i="12"/>
  <c r="Q14" i="4" s="1"/>
  <c r="T14" i="4" s="1"/>
  <c r="E29" i="29" s="1"/>
  <c r="F112" i="12"/>
  <c r="F111" i="12"/>
  <c r="F110" i="12"/>
  <c r="F109" i="12"/>
  <c r="F107" i="12"/>
  <c r="F103" i="12"/>
  <c r="F102" i="12"/>
  <c r="F101" i="12"/>
  <c r="F100" i="12"/>
  <c r="F99" i="12"/>
  <c r="F89" i="12"/>
  <c r="D85" i="12"/>
  <c r="R13" i="4" s="1"/>
  <c r="U13" i="4" s="1"/>
  <c r="F84" i="12"/>
  <c r="F83" i="12"/>
  <c r="F82" i="12"/>
  <c r="F76" i="12"/>
  <c r="F74" i="12"/>
  <c r="E70" i="12"/>
  <c r="E79" i="12" s="1"/>
  <c r="D70" i="12"/>
  <c r="C70" i="12"/>
  <c r="F69" i="12"/>
  <c r="F68" i="12"/>
  <c r="F60" i="12"/>
  <c r="F59" i="12"/>
  <c r="F58" i="12"/>
  <c r="E37" i="12"/>
  <c r="S11" i="4" s="1"/>
  <c r="D37" i="12"/>
  <c r="R11" i="4" s="1"/>
  <c r="C37" i="12"/>
  <c r="Q11" i="4" s="1"/>
  <c r="F33" i="12"/>
  <c r="E28" i="12"/>
  <c r="D28" i="12"/>
  <c r="C28" i="12"/>
  <c r="F24" i="12"/>
  <c r="F23" i="12"/>
  <c r="E20" i="12"/>
  <c r="D20" i="12"/>
  <c r="C20" i="12"/>
  <c r="F19" i="12"/>
  <c r="F9" i="12"/>
  <c r="H65" i="9"/>
  <c r="H60" i="9"/>
  <c r="H25" i="9"/>
  <c r="H19" i="9"/>
  <c r="H15" i="9"/>
  <c r="H14" i="9"/>
  <c r="E35" i="7"/>
  <c r="D35" i="7"/>
  <c r="C35" i="7"/>
  <c r="E17" i="6"/>
  <c r="D17" i="6"/>
  <c r="C17" i="6"/>
  <c r="H14" i="6"/>
  <c r="G14" i="6"/>
  <c r="H13" i="6"/>
  <c r="H12" i="6"/>
  <c r="H11" i="6"/>
  <c r="G9" i="5"/>
  <c r="S33" i="4"/>
  <c r="R33" i="4"/>
  <c r="Q33" i="4"/>
  <c r="N33" i="4"/>
  <c r="M33" i="4"/>
  <c r="L33" i="4"/>
  <c r="K33" i="4"/>
  <c r="J33" i="4"/>
  <c r="I33" i="4"/>
  <c r="H33" i="4"/>
  <c r="G33" i="4"/>
  <c r="F33" i="4"/>
  <c r="E33" i="4"/>
  <c r="D33" i="4"/>
  <c r="C33" i="4"/>
  <c r="U32" i="4"/>
  <c r="V31" i="4"/>
  <c r="V30" i="4"/>
  <c r="U30" i="4"/>
  <c r="T30" i="4"/>
  <c r="V25" i="4"/>
  <c r="U25" i="4"/>
  <c r="S24" i="4"/>
  <c r="R24" i="4"/>
  <c r="Q24" i="4"/>
  <c r="N24" i="4"/>
  <c r="M24" i="4"/>
  <c r="L24" i="4"/>
  <c r="K24" i="4"/>
  <c r="J24" i="4"/>
  <c r="I24" i="4"/>
  <c r="H24" i="4"/>
  <c r="G24" i="4"/>
  <c r="F24" i="4"/>
  <c r="E24" i="4"/>
  <c r="D24" i="4"/>
  <c r="C24" i="4"/>
  <c r="U23" i="4"/>
  <c r="T23" i="4"/>
  <c r="V22" i="4"/>
  <c r="U22" i="4"/>
  <c r="T22" i="4"/>
  <c r="V21" i="4"/>
  <c r="T21" i="4"/>
  <c r="V20" i="4"/>
  <c r="T20" i="4"/>
  <c r="V19" i="4"/>
  <c r="V18" i="4"/>
  <c r="K17" i="4"/>
  <c r="J17" i="4"/>
  <c r="I17" i="4"/>
  <c r="H17" i="4"/>
  <c r="G17" i="4"/>
  <c r="F17" i="4"/>
  <c r="E17" i="4"/>
  <c r="D17" i="4"/>
  <c r="C17" i="4"/>
  <c r="V16" i="4"/>
  <c r="F31" i="29" s="1"/>
  <c r="V15" i="4"/>
  <c r="U15" i="4"/>
  <c r="T15" i="4"/>
  <c r="E30" i="29" s="1"/>
  <c r="V14" i="4"/>
  <c r="F29" i="29" s="1"/>
  <c r="U14" i="4"/>
  <c r="V13" i="4"/>
  <c r="F28" i="29" s="1"/>
  <c r="E27" i="2"/>
  <c r="E29" i="2" s="1"/>
  <c r="D27" i="2"/>
  <c r="D29" i="2" s="1"/>
  <c r="C27" i="2"/>
  <c r="C29" i="2" s="1"/>
  <c r="V26" i="2"/>
  <c r="U26" i="2"/>
  <c r="T26" i="2"/>
  <c r="V25" i="2"/>
  <c r="U25" i="2"/>
  <c r="T25" i="2"/>
  <c r="V24" i="2"/>
  <c r="U24" i="2"/>
  <c r="T24" i="2"/>
  <c r="V23" i="2"/>
  <c r="D125" i="1" s="1"/>
  <c r="E125" i="1" s="1"/>
  <c r="U23" i="2"/>
  <c r="T23" i="2"/>
  <c r="V22" i="2"/>
  <c r="D124" i="1" s="1"/>
  <c r="U22" i="2"/>
  <c r="T22" i="2"/>
  <c r="V21" i="2"/>
  <c r="U21" i="2"/>
  <c r="T21" i="2"/>
  <c r="U20" i="2"/>
  <c r="C122" i="1" s="1"/>
  <c r="E122" i="1" s="1"/>
  <c r="T20" i="2"/>
  <c r="V19" i="2"/>
  <c r="D121" i="1" s="1"/>
  <c r="U19" i="2"/>
  <c r="C121" i="1" s="1"/>
  <c r="T19" i="2"/>
  <c r="V18" i="2"/>
  <c r="D120" i="1" s="1"/>
  <c r="U18" i="2"/>
  <c r="C120" i="1" s="1"/>
  <c r="T18" i="2"/>
  <c r="B120" i="1" s="1"/>
  <c r="V17" i="2"/>
  <c r="D119" i="1" s="1"/>
  <c r="U17" i="2"/>
  <c r="C119" i="1" s="1"/>
  <c r="T17" i="2"/>
  <c r="B119" i="1" s="1"/>
  <c r="V16" i="2"/>
  <c r="D118" i="1" s="1"/>
  <c r="U16" i="2"/>
  <c r="C118" i="1" s="1"/>
  <c r="T16" i="2"/>
  <c r="B118" i="1" s="1"/>
  <c r="V15" i="2"/>
  <c r="D117" i="1" s="1"/>
  <c r="U15" i="2"/>
  <c r="C117" i="1" s="1"/>
  <c r="V14" i="2"/>
  <c r="D116" i="1" s="1"/>
  <c r="U14" i="2"/>
  <c r="C116" i="1" s="1"/>
  <c r="T14" i="2"/>
  <c r="B116" i="1" s="1"/>
  <c r="V13" i="2"/>
  <c r="U13" i="2"/>
  <c r="T13" i="2"/>
  <c r="S12" i="2"/>
  <c r="S27" i="2" s="1"/>
  <c r="S29" i="2" s="1"/>
  <c r="R12" i="2"/>
  <c r="R27" i="2" s="1"/>
  <c r="R29" i="2" s="1"/>
  <c r="Q29" i="2"/>
  <c r="N12" i="2"/>
  <c r="M12" i="2"/>
  <c r="M27" i="2" s="1"/>
  <c r="M29" i="2" s="1"/>
  <c r="L12" i="2"/>
  <c r="L27" i="2" s="1"/>
  <c r="L29" i="2" s="1"/>
  <c r="K12" i="2"/>
  <c r="K27" i="2" s="1"/>
  <c r="K29" i="2" s="1"/>
  <c r="J12" i="2"/>
  <c r="I12" i="2"/>
  <c r="I27" i="2" s="1"/>
  <c r="I29" i="2" s="1"/>
  <c r="H12" i="2"/>
  <c r="H27" i="2" s="1"/>
  <c r="H29" i="2" s="1"/>
  <c r="G12" i="2"/>
  <c r="G27" i="2" s="1"/>
  <c r="G29" i="2" s="1"/>
  <c r="F27" i="2"/>
  <c r="F29" i="2" s="1"/>
  <c r="V11" i="2"/>
  <c r="U11" i="2"/>
  <c r="T11" i="2"/>
  <c r="V10" i="2"/>
  <c r="U10" i="2"/>
  <c r="T10" i="2"/>
  <c r="V9" i="2"/>
  <c r="U9" i="2"/>
  <c r="T9" i="2"/>
  <c r="E141" i="1"/>
  <c r="E98" i="1"/>
  <c r="E94" i="1"/>
  <c r="B84" i="1"/>
  <c r="B88" i="1" s="1"/>
  <c r="E83" i="1"/>
  <c r="E80" i="1"/>
  <c r="D73" i="1"/>
  <c r="C73" i="1"/>
  <c r="E54" i="1"/>
  <c r="D33" i="1"/>
  <c r="F12" i="6" s="1"/>
  <c r="E23" i="1"/>
  <c r="G12" i="6" l="1"/>
  <c r="F17" i="6"/>
  <c r="F18" i="6" s="1"/>
  <c r="L74" i="14"/>
  <c r="L21" i="14"/>
  <c r="M63" i="14"/>
  <c r="D74" i="14"/>
  <c r="K74" i="14"/>
  <c r="E74" i="14"/>
  <c r="F74" i="14"/>
  <c r="I74" i="14"/>
  <c r="J74" i="14"/>
  <c r="I75" i="14"/>
  <c r="F34" i="14"/>
  <c r="F75" i="14"/>
  <c r="J75" i="14"/>
  <c r="N17" i="14"/>
  <c r="D75" i="14"/>
  <c r="D76" i="14" s="1"/>
  <c r="E75" i="14"/>
  <c r="G75" i="14"/>
  <c r="G21" i="14"/>
  <c r="K34" i="14"/>
  <c r="J34" i="14"/>
  <c r="E9" i="29"/>
  <c r="E13" i="9"/>
  <c r="C10" i="7"/>
  <c r="E118" i="1"/>
  <c r="N27" i="2"/>
  <c r="N29" i="2" s="1"/>
  <c r="G37" i="14"/>
  <c r="M37" i="14" s="1"/>
  <c r="E117" i="1"/>
  <c r="E116" i="1"/>
  <c r="E121" i="1"/>
  <c r="E120" i="1"/>
  <c r="D126" i="1"/>
  <c r="F12" i="29" s="1"/>
  <c r="E119" i="1"/>
  <c r="C126" i="1"/>
  <c r="C146" i="1" s="1"/>
  <c r="C154" i="1" s="1"/>
  <c r="B126" i="1"/>
  <c r="E16" i="9" s="1"/>
  <c r="E23" i="9" s="1"/>
  <c r="E27" i="9" s="1"/>
  <c r="J41" i="7"/>
  <c r="E34" i="3"/>
  <c r="F41" i="29"/>
  <c r="G55" i="9"/>
  <c r="F55" i="9"/>
  <c r="I41" i="7"/>
  <c r="D34" i="3"/>
  <c r="F34" i="3" s="1"/>
  <c r="G44" i="9"/>
  <c r="E18" i="3"/>
  <c r="F30" i="29"/>
  <c r="V11" i="4"/>
  <c r="F26" i="29" s="1"/>
  <c r="C133" i="12"/>
  <c r="Q16" i="4"/>
  <c r="T16" i="4" s="1"/>
  <c r="E31" i="29" s="1"/>
  <c r="T11" i="4"/>
  <c r="E26" i="29" s="1"/>
  <c r="U11" i="4"/>
  <c r="I11" i="7" s="1"/>
  <c r="E25" i="3"/>
  <c r="F25" i="3" s="1"/>
  <c r="F34" i="29"/>
  <c r="J29" i="7"/>
  <c r="G48" i="9"/>
  <c r="E27" i="3"/>
  <c r="G50" i="9"/>
  <c r="J31" i="7"/>
  <c r="F36" i="29"/>
  <c r="E26" i="3"/>
  <c r="F26" i="3" s="1"/>
  <c r="G49" i="9"/>
  <c r="H49" i="9" s="1"/>
  <c r="F35" i="29"/>
  <c r="J30" i="7"/>
  <c r="C28" i="3"/>
  <c r="E37" i="29"/>
  <c r="E51" i="9"/>
  <c r="H32" i="7"/>
  <c r="D27" i="3"/>
  <c r="I31" i="7"/>
  <c r="F50" i="9"/>
  <c r="C26" i="3"/>
  <c r="H30" i="7"/>
  <c r="E35" i="29"/>
  <c r="E49" i="9"/>
  <c r="C25" i="3"/>
  <c r="E48" i="9"/>
  <c r="H29" i="7"/>
  <c r="E34" i="29"/>
  <c r="C27" i="3"/>
  <c r="H31" i="7"/>
  <c r="E50" i="9"/>
  <c r="E36" i="29"/>
  <c r="D28" i="3"/>
  <c r="I32" i="7"/>
  <c r="F51" i="9"/>
  <c r="H51" i="9" s="1"/>
  <c r="D19" i="3"/>
  <c r="F45" i="9"/>
  <c r="J15" i="7"/>
  <c r="E19" i="3"/>
  <c r="G45" i="9"/>
  <c r="F44" i="9"/>
  <c r="I15" i="7"/>
  <c r="D18" i="3"/>
  <c r="F18" i="3" s="1"/>
  <c r="E44" i="9"/>
  <c r="C18" i="3"/>
  <c r="E17" i="3"/>
  <c r="G43" i="9"/>
  <c r="J14" i="7"/>
  <c r="F43" i="9"/>
  <c r="I14" i="7"/>
  <c r="D17" i="3"/>
  <c r="E43" i="9"/>
  <c r="H14" i="7"/>
  <c r="C17" i="3"/>
  <c r="F42" i="9"/>
  <c r="I13" i="7"/>
  <c r="D16" i="3"/>
  <c r="G42" i="9"/>
  <c r="J13" i="7"/>
  <c r="E16" i="3"/>
  <c r="K75" i="14"/>
  <c r="I34" i="14"/>
  <c r="F21" i="14"/>
  <c r="J21" i="14"/>
  <c r="K26" i="4"/>
  <c r="E26" i="4"/>
  <c r="G73" i="14"/>
  <c r="D15" i="17"/>
  <c r="I73" i="14"/>
  <c r="D62" i="1"/>
  <c r="E33" i="1"/>
  <c r="L73" i="14"/>
  <c r="H15" i="17"/>
  <c r="H25" i="17" s="1"/>
  <c r="G15" i="17"/>
  <c r="F15" i="17"/>
  <c r="F23" i="17" s="1"/>
  <c r="E15" i="17"/>
  <c r="D34" i="14"/>
  <c r="E34" i="14"/>
  <c r="G34" i="14"/>
  <c r="D30" i="12"/>
  <c r="R10" i="4" s="1"/>
  <c r="U33" i="4"/>
  <c r="V33" i="4"/>
  <c r="I26" i="4"/>
  <c r="G26" i="4"/>
  <c r="C26" i="4"/>
  <c r="B112" i="1"/>
  <c r="J27" i="2"/>
  <c r="J29" i="2" s="1"/>
  <c r="I18" i="17"/>
  <c r="G22" i="17"/>
  <c r="G26" i="17" s="1"/>
  <c r="G27" i="17" s="1"/>
  <c r="E22" i="17"/>
  <c r="E25" i="16"/>
  <c r="F151" i="12"/>
  <c r="C135" i="12"/>
  <c r="D135" i="12"/>
  <c r="H66" i="9"/>
  <c r="F85" i="12"/>
  <c r="F77" i="12"/>
  <c r="F70" i="12"/>
  <c r="F64" i="12"/>
  <c r="F51" i="12"/>
  <c r="D79" i="12"/>
  <c r="R12" i="4" s="1"/>
  <c r="C79" i="12"/>
  <c r="Q12" i="4" s="1"/>
  <c r="F37" i="12"/>
  <c r="F28" i="12"/>
  <c r="C30" i="12"/>
  <c r="Q10" i="4" s="1"/>
  <c r="F100" i="13"/>
  <c r="F74" i="13"/>
  <c r="F60" i="13"/>
  <c r="F48" i="13"/>
  <c r="D76" i="13"/>
  <c r="M12" i="4" s="1"/>
  <c r="C76" i="13"/>
  <c r="L12" i="4" s="1"/>
  <c r="F35" i="13"/>
  <c r="C29" i="13"/>
  <c r="L10" i="4" s="1"/>
  <c r="D29" i="13"/>
  <c r="M10" i="4" s="1"/>
  <c r="F27" i="13"/>
  <c r="F20" i="13"/>
  <c r="G17" i="6"/>
  <c r="H17" i="6"/>
  <c r="T33" i="4"/>
  <c r="T24" i="4"/>
  <c r="V24" i="4"/>
  <c r="V12" i="2"/>
  <c r="U12" i="2"/>
  <c r="U27" i="2" s="1"/>
  <c r="U29" i="2" s="1"/>
  <c r="T12" i="2"/>
  <c r="T27" i="2" s="1"/>
  <c r="T29" i="2" s="1"/>
  <c r="D112" i="1"/>
  <c r="E84" i="1"/>
  <c r="C112" i="1"/>
  <c r="C21" i="14"/>
  <c r="I14" i="17"/>
  <c r="F93" i="12"/>
  <c r="F118" i="12"/>
  <c r="F98" i="12"/>
  <c r="D133" i="12"/>
  <c r="F133" i="12" s="1"/>
  <c r="F132" i="12"/>
  <c r="E29" i="13"/>
  <c r="N10" i="4" s="1"/>
  <c r="E76" i="13"/>
  <c r="N12" i="4" s="1"/>
  <c r="I11" i="17"/>
  <c r="E26" i="17"/>
  <c r="E27" i="17" s="1"/>
  <c r="H26" i="17"/>
  <c r="H27" i="17" s="1"/>
  <c r="D26" i="4"/>
  <c r="F26" i="4"/>
  <c r="H26" i="4"/>
  <c r="J26" i="4"/>
  <c r="U24" i="4"/>
  <c r="F20" i="12"/>
  <c r="E30" i="12"/>
  <c r="S10" i="4" s="1"/>
  <c r="D26" i="17"/>
  <c r="F27" i="17"/>
  <c r="F66" i="13"/>
  <c r="D21" i="14"/>
  <c r="H21" i="14"/>
  <c r="N25" i="14"/>
  <c r="D73" i="14"/>
  <c r="F73" i="14"/>
  <c r="H73" i="14"/>
  <c r="J73" i="14"/>
  <c r="M72" i="14"/>
  <c r="E21" i="14"/>
  <c r="I21" i="14"/>
  <c r="N21" i="14" l="1"/>
  <c r="M73" i="14"/>
  <c r="E76" i="14"/>
  <c r="U31" i="2"/>
  <c r="G38" i="14"/>
  <c r="G42" i="14" s="1"/>
  <c r="G74" i="14" s="1"/>
  <c r="M38" i="14"/>
  <c r="M42" i="14" s="1"/>
  <c r="M74" i="14" s="1"/>
  <c r="F16" i="9"/>
  <c r="D12" i="7"/>
  <c r="D17" i="7" s="1"/>
  <c r="D39" i="7" s="1"/>
  <c r="D43" i="7" s="1"/>
  <c r="E126" i="1"/>
  <c r="C12" i="7"/>
  <c r="C17" i="7" s="1"/>
  <c r="C39" i="7" s="1"/>
  <c r="C43" i="7" s="1"/>
  <c r="B146" i="1"/>
  <c r="B154" i="1" s="1"/>
  <c r="T31" i="2" s="1"/>
  <c r="E12" i="29"/>
  <c r="E17" i="29" s="1"/>
  <c r="E21" i="29" s="1"/>
  <c r="G16" i="9"/>
  <c r="E12" i="7"/>
  <c r="F23" i="9"/>
  <c r="H55" i="9"/>
  <c r="J11" i="7"/>
  <c r="H44" i="9"/>
  <c r="F40" i="9"/>
  <c r="D14" i="3"/>
  <c r="H45" i="9"/>
  <c r="G40" i="9"/>
  <c r="E14" i="3"/>
  <c r="T12" i="4"/>
  <c r="E27" i="29" s="1"/>
  <c r="H11" i="7"/>
  <c r="H15" i="7"/>
  <c r="C19" i="3"/>
  <c r="U12" i="4"/>
  <c r="F41" i="9" s="1"/>
  <c r="E45" i="9"/>
  <c r="E40" i="9"/>
  <c r="F19" i="3"/>
  <c r="C14" i="3"/>
  <c r="H43" i="9"/>
  <c r="H42" i="9"/>
  <c r="L17" i="4"/>
  <c r="L26" i="4" s="1"/>
  <c r="N17" i="4"/>
  <c r="N26" i="4" s="1"/>
  <c r="C37" i="14" s="1"/>
  <c r="C38" i="14" s="1"/>
  <c r="C42" i="14" s="1"/>
  <c r="M17" i="4"/>
  <c r="M26" i="4" s="1"/>
  <c r="V10" i="4"/>
  <c r="U10" i="4"/>
  <c r="R17" i="4"/>
  <c r="R26" i="4" s="1"/>
  <c r="Q17" i="4"/>
  <c r="Q26" i="4" s="1"/>
  <c r="T10" i="4"/>
  <c r="F27" i="3"/>
  <c r="D29" i="3"/>
  <c r="E29" i="3"/>
  <c r="C29" i="3"/>
  <c r="F47" i="9"/>
  <c r="G47" i="9"/>
  <c r="H48" i="9"/>
  <c r="E33" i="29"/>
  <c r="J35" i="7"/>
  <c r="E37" i="7" s="1"/>
  <c r="H35" i="7"/>
  <c r="I35" i="7"/>
  <c r="D37" i="7" s="1"/>
  <c r="H50" i="9"/>
  <c r="F33" i="29"/>
  <c r="E47" i="9"/>
  <c r="F17" i="3"/>
  <c r="F16" i="3"/>
  <c r="E23" i="17"/>
  <c r="I22" i="17"/>
  <c r="D25" i="17"/>
  <c r="I15" i="17"/>
  <c r="G23" i="17"/>
  <c r="H76" i="14"/>
  <c r="I76" i="14"/>
  <c r="G25" i="17"/>
  <c r="F25" i="17"/>
  <c r="E25" i="17"/>
  <c r="D74" i="1"/>
  <c r="E62" i="1"/>
  <c r="H23" i="17"/>
  <c r="J76" i="14"/>
  <c r="D139" i="12"/>
  <c r="D157" i="12" s="1"/>
  <c r="C139" i="12"/>
  <c r="C157" i="12" s="1"/>
  <c r="F76" i="14"/>
  <c r="D23" i="17"/>
  <c r="D85" i="13"/>
  <c r="D106" i="13" s="1"/>
  <c r="C85" i="13"/>
  <c r="C106" i="13" s="1"/>
  <c r="L76" i="14"/>
  <c r="F46" i="12"/>
  <c r="M75" i="14"/>
  <c r="F43" i="13"/>
  <c r="F76" i="13"/>
  <c r="F29" i="13"/>
  <c r="I26" i="17"/>
  <c r="F30" i="12"/>
  <c r="D27" i="17"/>
  <c r="I27" i="17" s="1"/>
  <c r="N42" i="14" l="1"/>
  <c r="C74" i="14"/>
  <c r="N38" i="14"/>
  <c r="G76" i="14"/>
  <c r="H16" i="9"/>
  <c r="F27" i="9"/>
  <c r="C15" i="3"/>
  <c r="H12" i="7"/>
  <c r="F14" i="3"/>
  <c r="H40" i="9"/>
  <c r="D15" i="3"/>
  <c r="E41" i="9"/>
  <c r="I12" i="7"/>
  <c r="F79" i="12"/>
  <c r="S12" i="4"/>
  <c r="F25" i="29"/>
  <c r="E13" i="3"/>
  <c r="G39" i="9"/>
  <c r="J10" i="7"/>
  <c r="D13" i="3"/>
  <c r="F39" i="9"/>
  <c r="I10" i="7"/>
  <c r="U17" i="4"/>
  <c r="U26" i="4" s="1"/>
  <c r="E25" i="29"/>
  <c r="E24" i="29" s="1"/>
  <c r="E39" i="29" s="1"/>
  <c r="E43" i="29" s="1"/>
  <c r="C13" i="3"/>
  <c r="T17" i="4"/>
  <c r="T26" i="4" s="1"/>
  <c r="H10" i="7"/>
  <c r="E39" i="9"/>
  <c r="F29" i="3"/>
  <c r="H47" i="9"/>
  <c r="C37" i="7"/>
  <c r="I25" i="17"/>
  <c r="E74" i="1"/>
  <c r="D88" i="1"/>
  <c r="G13" i="9" s="1"/>
  <c r="H13" i="9" s="1"/>
  <c r="M76" i="14"/>
  <c r="E135" i="12"/>
  <c r="E139" i="12" s="1"/>
  <c r="E157" i="12" s="1"/>
  <c r="F120" i="12"/>
  <c r="I23" i="17"/>
  <c r="E149" i="1"/>
  <c r="E85" i="13"/>
  <c r="G23" i="9" l="1"/>
  <c r="F9" i="29"/>
  <c r="F17" i="29" s="1"/>
  <c r="F21" i="29" s="1"/>
  <c r="E10" i="7"/>
  <c r="E17" i="7" s="1"/>
  <c r="E39" i="7" s="1"/>
  <c r="E43" i="7" s="1"/>
  <c r="H17" i="7"/>
  <c r="C19" i="7" s="1"/>
  <c r="C21" i="3"/>
  <c r="C31" i="3" s="1"/>
  <c r="C36" i="3" s="1"/>
  <c r="E38" i="9"/>
  <c r="E53" i="9" s="1"/>
  <c r="E57" i="9" s="1"/>
  <c r="I17" i="7"/>
  <c r="D19" i="7" s="1"/>
  <c r="V12" i="4"/>
  <c r="S17" i="4"/>
  <c r="S26" i="4" s="1"/>
  <c r="F38" i="9"/>
  <c r="H39" i="9"/>
  <c r="F13" i="3"/>
  <c r="D21" i="3"/>
  <c r="D146" i="1"/>
  <c r="E88" i="1"/>
  <c r="F135" i="12"/>
  <c r="F139" i="12"/>
  <c r="F157" i="12"/>
  <c r="E106" i="13"/>
  <c r="F106" i="13" s="1"/>
  <c r="F85" i="13"/>
  <c r="C73" i="14"/>
  <c r="G27" i="9" l="1"/>
  <c r="H27" i="9" s="1"/>
  <c r="H23" i="9"/>
  <c r="H39" i="7"/>
  <c r="C40" i="7" s="1"/>
  <c r="I39" i="7"/>
  <c r="I43" i="7" s="1"/>
  <c r="F27" i="29"/>
  <c r="F24" i="29" s="1"/>
  <c r="F39" i="29" s="1"/>
  <c r="F43" i="29" s="1"/>
  <c r="G41" i="9"/>
  <c r="E15" i="3"/>
  <c r="J12" i="7"/>
  <c r="J17" i="7" s="1"/>
  <c r="V17" i="4"/>
  <c r="V26" i="4" s="1"/>
  <c r="F53" i="9"/>
  <c r="D31" i="3"/>
  <c r="D154" i="1"/>
  <c r="E154" i="1" s="1"/>
  <c r="E146" i="1"/>
  <c r="H43" i="7" l="1"/>
  <c r="D40" i="7"/>
  <c r="E19" i="7"/>
  <c r="J39" i="7"/>
  <c r="F15" i="3"/>
  <c r="E21" i="3"/>
  <c r="H41" i="9"/>
  <c r="G38" i="9"/>
  <c r="D36" i="3"/>
  <c r="F57" i="9"/>
  <c r="E31" i="3" l="1"/>
  <c r="F21" i="3"/>
  <c r="J43" i="7"/>
  <c r="E40" i="7"/>
  <c r="G53" i="9"/>
  <c r="H38" i="9"/>
  <c r="G57" i="9" l="1"/>
  <c r="H57" i="9" s="1"/>
  <c r="H53" i="9"/>
  <c r="E36" i="3"/>
  <c r="F36" i="3" s="1"/>
  <c r="F31" i="3"/>
  <c r="C75" i="14"/>
  <c r="C76" i="14" s="1"/>
  <c r="C34" i="14"/>
  <c r="N34" i="14" s="1"/>
  <c r="H54" i="1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<sst xmlns="http://schemas.openxmlformats.org/spreadsheetml/2006/main" count="3739" uniqueCount="2246">
  <si>
    <t>Bevételi jogcímek megnevezése</t>
  </si>
  <si>
    <t>Teljesítés %-a</t>
  </si>
  <si>
    <t>1. Működési célú támogatások ÁHT-on belűlről (B1)</t>
  </si>
  <si>
    <t>3. Közhatalmi bevételek (B3)</t>
  </si>
  <si>
    <t>Vagyoni tipusú adók</t>
  </si>
  <si>
    <t>Termékek és szolgáltatások adói</t>
  </si>
  <si>
    <t>Helyi adók összesen:</t>
  </si>
  <si>
    <t>Egyéb közhatalmi bevételek</t>
  </si>
  <si>
    <t>Igazgatási szolgáltatási díjak</t>
  </si>
  <si>
    <t>Felügyeleti díjak</t>
  </si>
  <si>
    <t>Egyéb közhatalmi bevételek össszesen:</t>
  </si>
  <si>
    <t>3. Közhatalmi bevételek (B3) összesen:</t>
  </si>
  <si>
    <t>4. Működési bevételek (B4)</t>
  </si>
  <si>
    <t>Áru- és készletértékesítés ellenértéke (B401)</t>
  </si>
  <si>
    <t>Szolgáltatások ellenértéke (B402)</t>
  </si>
  <si>
    <t>Közvetített szolgáltatások ellenértéke (B403)</t>
  </si>
  <si>
    <t>Tulajdonosi bevételek (B404)</t>
  </si>
  <si>
    <t>Ellátási díjak (B405)</t>
  </si>
  <si>
    <t>Kiszámlázott ÁFA (B406)</t>
  </si>
  <si>
    <t>ÁFA visszatérítés (B407)</t>
  </si>
  <si>
    <t>Egyéb pénzügyi műveletek (B409)</t>
  </si>
  <si>
    <t>Egyéb működési bevételek (B411)</t>
  </si>
  <si>
    <t>4 Működési bevételek (B4) összesen:</t>
  </si>
  <si>
    <t>5. Felhalmozási bevételek (B5)</t>
  </si>
  <si>
    <t>Immateriális javak értékesítése</t>
  </si>
  <si>
    <t>Ingatlanok értékesítése</t>
  </si>
  <si>
    <t>Egyéb tárgyi eszközök értékesítése</t>
  </si>
  <si>
    <t>5. Felhalmozási bevételek (B5) összesen:</t>
  </si>
  <si>
    <t>6. Működési célú átvett pénzeszközök (B6)</t>
  </si>
  <si>
    <t>Működési célú átvett pénzeszköz vállalkozástól</t>
  </si>
  <si>
    <t>6. Működési célú átvett pénzeszközök (B6) összesen:</t>
  </si>
  <si>
    <t>7. Felhalmozási célú átvett pénzeszközök (B7)</t>
  </si>
  <si>
    <t>7. Felhalmozási célú átvett pénzeszközök (B7) összesen:</t>
  </si>
  <si>
    <t>Költségvetési bevételek összesen:(B1+…+B7)</t>
  </si>
  <si>
    <t>8. Finanszírozási bevételek (B8)</t>
  </si>
  <si>
    <t>Előző évi maradvány igénybevétele</t>
  </si>
  <si>
    <t>8. Finanszírozási bevételek (B8) összesen:</t>
  </si>
  <si>
    <t>Önkormányzat és Intézményei Bevételek mindösszesen:(B1+…+B8)</t>
  </si>
  <si>
    <t>Ezer Ft.</t>
  </si>
  <si>
    <t>Bevételi jogcím</t>
  </si>
  <si>
    <t>Gyermekjóléti és Szoc. SzK.</t>
  </si>
  <si>
    <t>Játékvár Óvoda és Bölcsőde</t>
  </si>
  <si>
    <t>Városi Művelődési Központ és Könyvtár</t>
  </si>
  <si>
    <t>Polgármesteri Hivatal</t>
  </si>
  <si>
    <t>Martfű Város Önkormányzata</t>
  </si>
  <si>
    <t>Önkormányzat mindösszesen</t>
  </si>
  <si>
    <t>Eredeti előirányzat</t>
  </si>
  <si>
    <t>Módosított előirányzat</t>
  </si>
  <si>
    <t>Teljesítés</t>
  </si>
  <si>
    <t>1.</t>
  </si>
  <si>
    <t>Működési c. tám. ÁHT-n belülről (B1)</t>
  </si>
  <si>
    <t>2.</t>
  </si>
  <si>
    <t>Felhalmozási célú támogatás ÁHT-on belűlről (B2)</t>
  </si>
  <si>
    <t>3.</t>
  </si>
  <si>
    <t>Közhatalmi bevételek (B3)</t>
  </si>
  <si>
    <t>4.</t>
  </si>
  <si>
    <t>Működési bevételek (B4) összesen</t>
  </si>
  <si>
    <t>Biztosító által fizetett kártérítés</t>
  </si>
  <si>
    <t>5.</t>
  </si>
  <si>
    <t>Felhalmozási bevételek (B5)</t>
  </si>
  <si>
    <t>6.</t>
  </si>
  <si>
    <t>Működési célú átvett pénzeszközök (B6)</t>
  </si>
  <si>
    <t>7.</t>
  </si>
  <si>
    <t>Felhalmozási célú átvett pénzeszközök (B7)</t>
  </si>
  <si>
    <t>Költségvetési bevételek összesen (B1+…+B7)</t>
  </si>
  <si>
    <t>8.</t>
  </si>
  <si>
    <t>Finanszírozási bevételek (B8)</t>
  </si>
  <si>
    <t>Önkormányzat és Intézményei Bevételek összesen:(B1+…+B8)</t>
  </si>
  <si>
    <t>Feladatok megnevezése</t>
  </si>
  <si>
    <t>I. Működési, fenntartási kiadások</t>
  </si>
  <si>
    <t>Ebből:</t>
  </si>
  <si>
    <t>- személyi juttatás (K1)</t>
  </si>
  <si>
    <t>- munkáltatót terhelő járulék (K2)</t>
  </si>
  <si>
    <t>- dologi kiadások (K3)</t>
  </si>
  <si>
    <t>- ellátottak pénzbeli juttatása (K4)</t>
  </si>
  <si>
    <t>- egyéb működési célú kiadások (K5)</t>
  </si>
  <si>
    <t>- általános tartalék</t>
  </si>
  <si>
    <t>- céltartalék</t>
  </si>
  <si>
    <t>I. Működési, fenntartási kiadások összesen:</t>
  </si>
  <si>
    <t>II. Felhalmozási kiadások</t>
  </si>
  <si>
    <t>- beruházás (K6)</t>
  </si>
  <si>
    <t>- felújítás (K7)</t>
  </si>
  <si>
    <t>- egyéb felh.kiadások (K8)</t>
  </si>
  <si>
    <t>II. Felhalmozási kiadások összesen:</t>
  </si>
  <si>
    <t>I-II. Tárgy évi kiadások összesen:</t>
  </si>
  <si>
    <t>III.</t>
  </si>
  <si>
    <t>Finanszírozási kiadások  (K9)</t>
  </si>
  <si>
    <t>Kiadások mindösszesen:</t>
  </si>
  <si>
    <t>Városi Művelődési Központ</t>
  </si>
  <si>
    <t>Személyi juttatás (K1)</t>
  </si>
  <si>
    <t>Munkáltatót terh.járulék (K2)</t>
  </si>
  <si>
    <t>Dologi kiadás (K3)</t>
  </si>
  <si>
    <t>Ellátottak pénzbeli jutt. (K4)</t>
  </si>
  <si>
    <t>Egyéb működési célú kiadások (K5)</t>
  </si>
  <si>
    <t>Működési és fennt. kiad. összesen:</t>
  </si>
  <si>
    <t>Beruházás (K6)</t>
  </si>
  <si>
    <t>9.</t>
  </si>
  <si>
    <t>Felújítás (K7)</t>
  </si>
  <si>
    <t>10.</t>
  </si>
  <si>
    <t>Egyéb felhalmozási célú kiadások (K8)</t>
  </si>
  <si>
    <t>11.</t>
  </si>
  <si>
    <t>Felhalmozási célú céltartalék</t>
  </si>
  <si>
    <t>Felhalmozási kiadás összesen:</t>
  </si>
  <si>
    <t>12.</t>
  </si>
  <si>
    <t>Finanszírozási kiadások (K9)</t>
  </si>
  <si>
    <t>Kiadások összesen:</t>
  </si>
  <si>
    <t>13.</t>
  </si>
  <si>
    <t>III. Tervezett létszám:</t>
  </si>
  <si>
    <t>14.</t>
  </si>
  <si>
    <t>15.</t>
  </si>
  <si>
    <t>Pályázatból foglalkoztatott létszám:</t>
  </si>
  <si>
    <t>16.</t>
  </si>
  <si>
    <t>17.</t>
  </si>
  <si>
    <t>18.</t>
  </si>
  <si>
    <t>A létszám adatok teljesítés oszlopa az éves átlagos statisztikai állományi létszámot tartalmazza.</t>
  </si>
  <si>
    <t>Eredeti előir.</t>
  </si>
  <si>
    <t>Mód. előir</t>
  </si>
  <si>
    <t>I.   BERUHÁZÁSOK</t>
  </si>
  <si>
    <t>Művelődési Központ és Könyvtár ingatlan</t>
  </si>
  <si>
    <t>Kisértékű tárgyieszköz beszerzés</t>
  </si>
  <si>
    <t>Önkormányzat</t>
  </si>
  <si>
    <t>KRESZ táblák pótlása, cseréje</t>
  </si>
  <si>
    <t>Önkormányzat beruházásai összesen:</t>
  </si>
  <si>
    <t>Polgármesteri Hivatal beruházásai összesen:</t>
  </si>
  <si>
    <t>Játékvár Óvoda és Bölcsőde beruházásai összesen:</t>
  </si>
  <si>
    <t>Városi Műv. Kp. és Könyvtár beruházásai össz.:</t>
  </si>
  <si>
    <t>I. Beruházások mindösszesen:</t>
  </si>
  <si>
    <t>II.  FELÚJÍTÁSOK</t>
  </si>
  <si>
    <t>Polgármesteri Hivatal összesen:</t>
  </si>
  <si>
    <t>II. Felújítások mindösszesen:</t>
  </si>
  <si>
    <t>III.  EGYÉB FELHALMOZÁSI KIADÁSOK</t>
  </si>
  <si>
    <t>Önkormányzat:</t>
  </si>
  <si>
    <t>Egyéb felhalmozási kiadások</t>
  </si>
  <si>
    <t>Egyéb felhalmozási kiadások összesen:</t>
  </si>
  <si>
    <t>Egyéb felhalmozási célú céltartalék</t>
  </si>
  <si>
    <t>Bérlakás értékesítéséből származó bevétel</t>
  </si>
  <si>
    <t>Felhalmozási kiadások mindösszesen:</t>
  </si>
  <si>
    <t>Intézmény, szervezet megnevezése</t>
  </si>
  <si>
    <t>Ebből állami támogatás</t>
  </si>
  <si>
    <t>Ebből önkormányzati költségvetési kiegészítés</t>
  </si>
  <si>
    <t>Teljesítés %-a (3./2.)</t>
  </si>
  <si>
    <t>Gyermekjóléti és Szoc. Szolg. Központ</t>
  </si>
  <si>
    <t>Városi Műv. Központ és Könyvtár</t>
  </si>
  <si>
    <t>1-4-ig összesen:</t>
  </si>
  <si>
    <t>Technikai összesen:</t>
  </si>
  <si>
    <t>I. Működési célú bevételek</t>
  </si>
  <si>
    <t>I. Működési célú  kiadások</t>
  </si>
  <si>
    <t>Személyi juttatások (K1)</t>
  </si>
  <si>
    <t>Munkaadót terhelő járulékok (K2)</t>
  </si>
  <si>
    <t>Működési bevételek (B4)</t>
  </si>
  <si>
    <t>Dologi kiadások (K3)</t>
  </si>
  <si>
    <t>Ellátottak pénzbeni juttása (K4)</t>
  </si>
  <si>
    <t>Tartalékok</t>
  </si>
  <si>
    <t>Működési célú bevételek öszesen:</t>
  </si>
  <si>
    <t>Működési célú kiadások összesen:</t>
  </si>
  <si>
    <t>Működési célú többletbevétel vagy hiány:</t>
  </si>
  <si>
    <t>II. Felhalmozási célú bevételek</t>
  </si>
  <si>
    <t>II. Felhalmozási célú kiadások</t>
  </si>
  <si>
    <t>Felhalmozási célú támogatás ÁHT-on belülről (B2)</t>
  </si>
  <si>
    <t>Beruházási kiadások (ÁFA-val) (K6)</t>
  </si>
  <si>
    <t>Felújítási kiadások (ÁFA-val) (K7)</t>
  </si>
  <si>
    <t>Felhalmozási célú bevételek összesen:</t>
  </si>
  <si>
    <t>Felhalmozási célú kiadások összesen:</t>
  </si>
  <si>
    <t>Felhalmozási célú hiány vagy többlet:</t>
  </si>
  <si>
    <t>Folyó évi kiadások összesen</t>
  </si>
  <si>
    <t>Forráshiány, többlet</t>
  </si>
  <si>
    <t>(07 + 23.)</t>
  </si>
  <si>
    <t>Feladat megnevezése</t>
  </si>
  <si>
    <t>Összesen:</t>
  </si>
  <si>
    <t>TÁJÉKOZTATÓ</t>
  </si>
  <si>
    <t>Martfű Város Önkormányzatának</t>
  </si>
  <si>
    <t>pénzügyi mérlege</t>
  </si>
  <si>
    <t>BEVÉTELEK</t>
  </si>
  <si>
    <t>Megtérülések</t>
  </si>
  <si>
    <t>Költségvetési bevételek összesen (B1+…B7)</t>
  </si>
  <si>
    <t>KIADÁSOK</t>
  </si>
  <si>
    <t>I.</t>
  </si>
  <si>
    <t>Működési, fenntartási kiadások</t>
  </si>
  <si>
    <t>-</t>
  </si>
  <si>
    <t>Munkáltatót terhelő járulékok (K2)</t>
  </si>
  <si>
    <t>Ellátottak pénzbeni juttatásai (K4)</t>
  </si>
  <si>
    <t>Általános tartalék</t>
  </si>
  <si>
    <t>Céltartalék</t>
  </si>
  <si>
    <t>II.</t>
  </si>
  <si>
    <t>Felhalmozási és tőke jellegű kiadások</t>
  </si>
  <si>
    <t>IV.</t>
  </si>
  <si>
    <t>V.</t>
  </si>
  <si>
    <t>Megjegyzés: A létszám adatok teljesítés oszlopa az éves átlagos statisztikai állományi létszámot tartalmazza.</t>
  </si>
  <si>
    <t>Több éves elkötelezettséggel járó kiadási tételek évenkénti bontásban</t>
  </si>
  <si>
    <t>Tartós kötelezettség</t>
  </si>
  <si>
    <t>Tájékoztató az Önkormányzat tételes kiadásairól</t>
  </si>
  <si>
    <t>A./SZEMÉLYI JUTTATÁSOK ÖSSZESEN (K1)</t>
  </si>
  <si>
    <t>I.Foglalkoztatottak személyi juttatásai (K11)</t>
  </si>
  <si>
    <t>Törvény szerinti alapilletmények, munkabér összesen (K1101)</t>
  </si>
  <si>
    <t>Normatív jutalmak (K1102)</t>
  </si>
  <si>
    <t>Céljuttatás, projektprémium (K1103)</t>
  </si>
  <si>
    <t>Készenléti, ügyeleti, helydíj, túlóra (K1104)</t>
  </si>
  <si>
    <t>Végkielégítés (K1105)</t>
  </si>
  <si>
    <t>Jubileumi jutalom (K1106)</t>
  </si>
  <si>
    <t>Béren kívüli juttatások (K1107)</t>
  </si>
  <si>
    <t>Ruházati költségtérítés (K1108)</t>
  </si>
  <si>
    <t>Közlekedési költségtérítés (K1109)</t>
  </si>
  <si>
    <t>Egyéb költségtérítések (K110)</t>
  </si>
  <si>
    <t>Foglalkoztatottak egyéb személyi juttatása (K1113)</t>
  </si>
  <si>
    <t>I.Foglalkoztatottak személyi juttatásai (K11) összesen:</t>
  </si>
  <si>
    <t>II. Külső személyi juttatások (K12)</t>
  </si>
  <si>
    <t>Választott tisztségviselők juttatása  (K121)</t>
  </si>
  <si>
    <t>Állományba nem tartozók megbízási díja (K122)</t>
  </si>
  <si>
    <t>Egyéb külső személyi juttatás -kitüntetettek (K123)</t>
  </si>
  <si>
    <t>Egyéb külső személyi juttatás -reprezentáció (K123)</t>
  </si>
  <si>
    <t>Egyéb különféle külső személyi juttatás (K123)</t>
  </si>
  <si>
    <t>Külső személyi juttatások (K12) összesen:</t>
  </si>
  <si>
    <t>A./SZEMÉLYI JUTTATÁSOK (K1) ÖSSZESEN</t>
  </si>
  <si>
    <t>B. /MUNKAADÓKAT TERHELŐ JÁRULÉK (K2)</t>
  </si>
  <si>
    <t>Rehabilitációs hozzájárulás</t>
  </si>
  <si>
    <t>Táppénz hozzájárulás</t>
  </si>
  <si>
    <t>Munkaadókat terhelő egyéb járulék (Szja)</t>
  </si>
  <si>
    <t>B. /MUNKAADÓKAT TERHELŐ JÁRULÉK (K2) ÖSSZESEN</t>
  </si>
  <si>
    <t>C./ DOLOGI KIADÁSOK (K3)</t>
  </si>
  <si>
    <t>1. Készletbeszerzések (K31)</t>
  </si>
  <si>
    <t>Szakmai anyagok (K311)</t>
  </si>
  <si>
    <t>Üzemeltetési anyagok beszerzése (K312)</t>
  </si>
  <si>
    <t>Árubeszerzés (K313)</t>
  </si>
  <si>
    <t>1. Készletbeszerzések (K31) összesen:</t>
  </si>
  <si>
    <t>Megnevezés</t>
  </si>
  <si>
    <t>2. Kommunikációs szolgáltatások (K32)</t>
  </si>
  <si>
    <t>Informatikai szolgáltatások (K321)</t>
  </si>
  <si>
    <t>Egyéb kommunikációs szolgáltatások (K322)</t>
  </si>
  <si>
    <t>2. Kommunikációs szolgáltatások (K32) összesen:</t>
  </si>
  <si>
    <t>3. Szolgáltatási kiadások (K33)</t>
  </si>
  <si>
    <t>Vásárolt élelmezés (K332)</t>
  </si>
  <si>
    <t>Bérleti és lízing díjak (K333 )</t>
  </si>
  <si>
    <t>Karbantartási, kisjavítási szolgáltatások (K334)</t>
  </si>
  <si>
    <t>Közvetített szolgáltatások (K335)</t>
  </si>
  <si>
    <t>Szakmai tevékenységet segítő szolgáltatások (K336)</t>
  </si>
  <si>
    <t>Egyéb szolgáltatások (K337)</t>
  </si>
  <si>
    <t>3. Szolgáltatási kiadások (K33) összesen:</t>
  </si>
  <si>
    <t>4. Kiküldetések, reklám-és propag. Kiadások (K34)</t>
  </si>
  <si>
    <t>Kiküldetések kiadásai (K341)</t>
  </si>
  <si>
    <t>Belföldi kiküldetések</t>
  </si>
  <si>
    <t>Reklám-és propaganda kiadások (K342)</t>
  </si>
  <si>
    <t>4. Kiküldetések, reklám-és propag. Kiadások (K34) összesen:</t>
  </si>
  <si>
    <t>5. Különféle befizetések és egyéb dologi kiadások (K35)</t>
  </si>
  <si>
    <t>Működéci célú előzet.felszámított ÁFA (K351)</t>
  </si>
  <si>
    <t>Működéci célú előzet.felszámított levonható ÁFA</t>
  </si>
  <si>
    <t>Működéci célú előzet.felszámított le nem vonható ÁFA</t>
  </si>
  <si>
    <t>Fizetendő ÁFA (K352)</t>
  </si>
  <si>
    <t>Kamatkiadások (K354)</t>
  </si>
  <si>
    <t>Egyéb dologi kiadások (K355)</t>
  </si>
  <si>
    <t>5. Különféle befizetések és egyéb dologi kiadások (K35) összesen:</t>
  </si>
  <si>
    <t>C./ DOLOGI KIADÁSOK (K3) ÖSSZESEN</t>
  </si>
  <si>
    <t>D./ELLÁTOTTAK PÉNZBELI JUTTATÁSA (K4)</t>
  </si>
  <si>
    <t>Köztemetés</t>
  </si>
  <si>
    <t>D./ELLÁTOTTAK PÉNZBELI JUTTATÁSA (K4) ÖSSZESEN</t>
  </si>
  <si>
    <t>E./EGYÉB MŰKÖDÉSI CÉLÚ KIADÁSOK (K5)</t>
  </si>
  <si>
    <t>Elvonások és befizetések(K502)</t>
  </si>
  <si>
    <t>Egyéb működési célú tám. ÁHT-n belülre (K506)</t>
  </si>
  <si>
    <t>Egyéb működési célú tám. ÁHT-n belülre (K506) összesen:</t>
  </si>
  <si>
    <t>Egyéb működési célú tám. ÁHT-n kívülre (K512)</t>
  </si>
  <si>
    <t>Sport támogatás összesen:</t>
  </si>
  <si>
    <t>Martfűi Labdarugó Sportegyesület</t>
  </si>
  <si>
    <t>Martfűi Városi Sportegyesület</t>
  </si>
  <si>
    <t>Victory Martfűi Kyokushin Karate Klub</t>
  </si>
  <si>
    <t>Martfűi Úszó és Triatlon Klub</t>
  </si>
  <si>
    <t>József Attila Általános Iskola DSE</t>
  </si>
  <si>
    <t>Civil szervezetek támogatása</t>
  </si>
  <si>
    <t>Egyéb nonprofit szervezetek tám.összesen:</t>
  </si>
  <si>
    <t>Martfűi Polgárőr Egyesület támogatása</t>
  </si>
  <si>
    <t>Magyar Máltai Szeretetszolgálat támogatása</t>
  </si>
  <si>
    <t>Egyéb működési támogatások összesen (K502-K512):</t>
  </si>
  <si>
    <t>Tartalékok (K513)</t>
  </si>
  <si>
    <t>a) Általános tartalék</t>
  </si>
  <si>
    <t>b) Céltartalék</t>
  </si>
  <si>
    <t>Polgármesteri keret</t>
  </si>
  <si>
    <t>Környezetvédelmi Alap felhasználása</t>
  </si>
  <si>
    <t>Várható iparűzési adó bevételingadozás miatti visszafizetés</t>
  </si>
  <si>
    <t>b) Céltartalék összesen:</t>
  </si>
  <si>
    <t>Tartalékok (K513) összesen:</t>
  </si>
  <si>
    <t>E./EGYÉB MŰKÖDÉSI CÉLÚ KIADÁSOK (K5) ÖSSZESEN</t>
  </si>
  <si>
    <t>MŰKÖDÉSI KIADÁSOK ÖSSZESEN:</t>
  </si>
  <si>
    <t>FELHALMOZÁSI KIADÁSOK</t>
  </si>
  <si>
    <t>A/ Beruházások (K6)</t>
  </si>
  <si>
    <t>B./ Felújítások (K7)</t>
  </si>
  <si>
    <t>C./ Egyéb felhalmozási célú kiadások (K8)</t>
  </si>
  <si>
    <t>D./</t>
  </si>
  <si>
    <t>FELHALMOZÁSI KIADÁSOK ÖSSZESEN:</t>
  </si>
  <si>
    <t>D./ Finanszírozási kiadások (K9)</t>
  </si>
  <si>
    <t>Állami támogatás megelőlegezésének visszafizetése</t>
  </si>
  <si>
    <t>KIADÁSOK MINDÖSSZESEN:</t>
  </si>
  <si>
    <t>Polgármesteri Hivatal tételes  kiadásai</t>
  </si>
  <si>
    <t>Teljesítés   %-a</t>
  </si>
  <si>
    <t>Egyéb költségtérítések (K1110)</t>
  </si>
  <si>
    <t>Egyéb külső személyi juttatás</t>
  </si>
  <si>
    <t>Állományba nem tartozók megbízási díja(K122)</t>
  </si>
  <si>
    <t>Rendszeres gyermekvéd. kedv.részes. pénzbeni támog.</t>
  </si>
  <si>
    <t>KIADÁS</t>
  </si>
  <si>
    <t>Ezer Ft</t>
  </si>
  <si>
    <t>Intézmények, Szakfeladatok</t>
  </si>
  <si>
    <t>Működési célú tám. ÁHT-n bel. (B1)</t>
  </si>
  <si>
    <t>Felhalmozási célú tám. ÁHT-n bel. (B2)</t>
  </si>
  <si>
    <t>Működési célú átvett pénzeszk. (B6)</t>
  </si>
  <si>
    <t>Felhalmozási célú átvett pénzeszk. (B7)</t>
  </si>
  <si>
    <t>Finanszírozási bevétel (B8)</t>
  </si>
  <si>
    <t>Önkormányzati finanszírozás (állami támogatás nélkül)</t>
  </si>
  <si>
    <t>Önkorm. finanszírozás az össz.kiadás %-ában</t>
  </si>
  <si>
    <t>Kötelezően ellátandó feladat</t>
  </si>
  <si>
    <t>Városüzemeltetési feladatok</t>
  </si>
  <si>
    <t>Óvoda nevelés, ellátás, éteztetés</t>
  </si>
  <si>
    <t>Kötelezően ellátandó feladat összesen:</t>
  </si>
  <si>
    <t>Önként vállalt feladat</t>
  </si>
  <si>
    <t>Bölcsődei ellátás</t>
  </si>
  <si>
    <t>Önként vállalt feladat összesen:</t>
  </si>
  <si>
    <t>Közművelődési tevékenységek, intézmények, könyvtár működtetése</t>
  </si>
  <si>
    <t>Kiadói tevékenység (Martfű Magazin)</t>
  </si>
  <si>
    <t>Városi TV.</t>
  </si>
  <si>
    <t>Múzeum</t>
  </si>
  <si>
    <t>Önk.m.n.s.nemzetközi kapcsol.</t>
  </si>
  <si>
    <t>Terembérlet</t>
  </si>
  <si>
    <t>Mozi</t>
  </si>
  <si>
    <t>Polgármesteri Hívatal</t>
  </si>
  <si>
    <t>Önkormányzati jogalkotás, igazgatási tevékenység</t>
  </si>
  <si>
    <t>Közfoglalkoztatás</t>
  </si>
  <si>
    <t>Köztemető fenntartás, üzemeltetés</t>
  </si>
  <si>
    <t>Közutak, hidak, alagutak üzemeltetése, fenntartása</t>
  </si>
  <si>
    <t>Közvilágítás</t>
  </si>
  <si>
    <t>Zöldterület kezelése</t>
  </si>
  <si>
    <t>Önkormányzati vagyongazdálkodás</t>
  </si>
  <si>
    <t>Városgazdálkodás</t>
  </si>
  <si>
    <t>Központi, gyermekorvosi rendelő, ügyelet, foglalkozás-és iskola eü, védőnői szolg.</t>
  </si>
  <si>
    <t>Sportpálya működtetése, versenysport tám.</t>
  </si>
  <si>
    <t>Ellátottak pénzbeli juttatásai</t>
  </si>
  <si>
    <t>Út- és járda építés, felújítás</t>
  </si>
  <si>
    <t>Közterület rendjének fenntartása</t>
  </si>
  <si>
    <t>Piac üzemeltetés</t>
  </si>
  <si>
    <t>Üdülői szálláshely szolg.</t>
  </si>
  <si>
    <t>Civil szervezetek, alapítványok támogatása</t>
  </si>
  <si>
    <t>Egyéb nonprofit szervezetek támog.</t>
  </si>
  <si>
    <t>Egyéb szabadidős tevékenység (játszótér üzemeltetése)</t>
  </si>
  <si>
    <t>.</t>
  </si>
  <si>
    <t>Önkormányzat mindösszesen:</t>
  </si>
  <si>
    <t>Ssz.</t>
  </si>
  <si>
    <t>Intézmények/Pályázatok azonosítója</t>
  </si>
  <si>
    <t>Megítélt/pályázott támogatás (Ft)</t>
  </si>
  <si>
    <t>Saját önerő vagy ÁFA</t>
  </si>
  <si>
    <t>Pályázat keretében elszámolható költség (Ft)</t>
  </si>
  <si>
    <t>Kedvezmények:</t>
  </si>
  <si>
    <r>
      <t>1.</t>
    </r>
    <r>
      <rPr>
        <u/>
        <sz val="12"/>
        <rFont val="Times New Roman"/>
        <family val="1"/>
        <charset val="1"/>
      </rPr>
      <t>Környezetvédelmi osztálykód alapján</t>
    </r>
  </si>
  <si>
    <t>- Tehergépkocsi</t>
  </si>
  <si>
    <t>- Nyergesvontató</t>
  </si>
  <si>
    <t>- Autóbusz</t>
  </si>
  <si>
    <t>Adómentesség:</t>
  </si>
  <si>
    <t>2. Mozgáskorlátozottak gépjárművei után</t>
  </si>
  <si>
    <t>3. Egyházi mentesség</t>
  </si>
  <si>
    <t>4. Költségvetési szerv, egyesület</t>
  </si>
  <si>
    <t>Kedvezmények és mentességek együttes összege:</t>
  </si>
  <si>
    <t>Rendőrségi székház bérleti díjának elengedése</t>
  </si>
  <si>
    <t>Máltai Szeretet Szolgálat által igénybevett épület bérleti díjának elengedése</t>
  </si>
  <si>
    <t>Közvetett támogatások összesen:</t>
  </si>
  <si>
    <t>Jogcím</t>
  </si>
  <si>
    <t>01.</t>
  </si>
  <si>
    <t>Alaptevékenység költségvetési bevételei</t>
  </si>
  <si>
    <t>02.</t>
  </si>
  <si>
    <t>Alaptevékenység költségvetési kiadásai</t>
  </si>
  <si>
    <t>03.</t>
  </si>
  <si>
    <t>Alaptevékenység költségvetési egyenlege (=01-02)</t>
  </si>
  <si>
    <t>04.</t>
  </si>
  <si>
    <t>Alaptevékenység finanszírozási bevételei</t>
  </si>
  <si>
    <t>05.</t>
  </si>
  <si>
    <t>Alaptevékenység finanszírozási kiadásai</t>
  </si>
  <si>
    <t>06.</t>
  </si>
  <si>
    <t>Alaptevékenység finanszírozási egyenlege (=03-04)</t>
  </si>
  <si>
    <t>07.</t>
  </si>
  <si>
    <t>A)</t>
  </si>
  <si>
    <t>Alaptevékenység maradványa (=+-I+-II)</t>
  </si>
  <si>
    <t>08.</t>
  </si>
  <si>
    <t>Vállalkozási tevékenység költségvetési bevételei</t>
  </si>
  <si>
    <t>09.</t>
  </si>
  <si>
    <t>Vállalkozási tevékenység költségvetési kiadásai</t>
  </si>
  <si>
    <t>Vállalkozási tevékenység költségvetési egyenlege (=05-06)</t>
  </si>
  <si>
    <t>Vállalkozási tevékenység finanszrozási bevételei</t>
  </si>
  <si>
    <t>Vállalkozási tevékenység finanszrozási kiadásai</t>
  </si>
  <si>
    <t>Vállalkozási tevékenység finanszrozási egyenlege (=07-08)</t>
  </si>
  <si>
    <t>B)</t>
  </si>
  <si>
    <t>Vállalkozási tevékenység maradványa (=+-III+-IV)</t>
  </si>
  <si>
    <t>C)</t>
  </si>
  <si>
    <t>Összes maradvány (=A+B)</t>
  </si>
  <si>
    <t>D)</t>
  </si>
  <si>
    <t>Alaptevékenység kötelezettségvállalással terhelt maradványa</t>
  </si>
  <si>
    <t>E)</t>
  </si>
  <si>
    <t>Alaptevékenység szabad maradványa (=A-D)</t>
  </si>
  <si>
    <t>F)</t>
  </si>
  <si>
    <t>Vállalkozási tevékenységet terhelő befizetési kötelezettség (=B*0,1)</t>
  </si>
  <si>
    <t>19.</t>
  </si>
  <si>
    <t>G)</t>
  </si>
  <si>
    <t>Vállalkozási tevékenység felhasználható maradványa (=B-F)</t>
  </si>
  <si>
    <t>Vagyonkimutatás</t>
  </si>
  <si>
    <t>Eszközök</t>
  </si>
  <si>
    <t>Források</t>
  </si>
  <si>
    <t>A</t>
  </si>
  <si>
    <t>Nemzeti vagyonba tartozó befektetett eszközök</t>
  </si>
  <si>
    <t>G</t>
  </si>
  <si>
    <t>Saját tőke</t>
  </si>
  <si>
    <t>Immateriális javak</t>
  </si>
  <si>
    <t>Nemzeti vagyon induláskori értéke</t>
  </si>
  <si>
    <t>Nemzeti vagyon változásai</t>
  </si>
  <si>
    <t>I/1</t>
  </si>
  <si>
    <t>B</t>
  </si>
  <si>
    <t>Korlátozottan forgalomképes vagyoni értékű jogok</t>
  </si>
  <si>
    <t>Egyéb eszközök induláskori értéke és változásai</t>
  </si>
  <si>
    <t>I/2</t>
  </si>
  <si>
    <t>Korlátozottan forgalomképes szellemi termékek</t>
  </si>
  <si>
    <t>Felhalmozott eredmény</t>
  </si>
  <si>
    <t>Immateriális javak összesen:</t>
  </si>
  <si>
    <t>VI.</t>
  </si>
  <si>
    <t>Mérleg szerinti eredmény</t>
  </si>
  <si>
    <t>Tárgyi eszközök</t>
  </si>
  <si>
    <t>Saját tőke összesen</t>
  </si>
  <si>
    <t>II/1</t>
  </si>
  <si>
    <t>Üzleti (forg.k.) ingatlanok és a kapcs. vagyoni értékű jogok</t>
  </si>
  <si>
    <t>H</t>
  </si>
  <si>
    <t>Kötelezettségek</t>
  </si>
  <si>
    <t>(intézményenként részletes vagyonkimutatás szerint)</t>
  </si>
  <si>
    <t>Költségvetési évben esedékes kötelezettségek</t>
  </si>
  <si>
    <t>Korlátozottan forgalomképes ing. és a kapcs. vagy. ért. jogok</t>
  </si>
  <si>
    <t>Költségvetési évet követően esedékes kötelezettségek</t>
  </si>
  <si>
    <t>C</t>
  </si>
  <si>
    <t>Forgalomképtelen ingatlanok és a kapcs. vagy. ért. jogok</t>
  </si>
  <si>
    <t>Kötelezettség jellegű sajátos elszámolások</t>
  </si>
  <si>
    <t>Kötelezettségek összesen:</t>
  </si>
  <si>
    <t>II/2</t>
  </si>
  <si>
    <t>Üzleti (forg.k.) gépek, berendezések, felszerelések, járművek</t>
  </si>
  <si>
    <t>Korlátozottan forgalomképes gépek, berend. és felszerelések, járművek</t>
  </si>
  <si>
    <t>I</t>
  </si>
  <si>
    <t>Egyéb sajátos forrásoldali elszámolások</t>
  </si>
  <si>
    <t>II/4</t>
  </si>
  <si>
    <t>Korlátozottan forgalomképes beruházások</t>
  </si>
  <si>
    <t>J</t>
  </si>
  <si>
    <t>Passzív időbeli elhatárolások</t>
  </si>
  <si>
    <t>Tárgyi eszközök összesen:</t>
  </si>
  <si>
    <t>Befektetett pénzügyi eszközök</t>
  </si>
  <si>
    <t>III/1</t>
  </si>
  <si>
    <t>Üzleti (forg.k.)vagyon:: Tartós részesedés</t>
  </si>
  <si>
    <t>Korlátozottan forg.képes  tartós részesedés</t>
  </si>
  <si>
    <t>Befektetett pénzügyi eszközök összesen:</t>
  </si>
  <si>
    <t>Koncesszióba, vagyonkezelésbe adott eszközök</t>
  </si>
  <si>
    <t>IV/1</t>
  </si>
  <si>
    <t>Üzleti (forg.képes) átadott eszközök</t>
  </si>
  <si>
    <t>Korlátozottan forgalomképes átadott eszközök</t>
  </si>
  <si>
    <t>Nemzeti vagyonba tartozó befektetett eszközök összesen:</t>
  </si>
  <si>
    <t>Nemzeti vagyonba tartozó forgóeszközök (törzsvagyonon kívüli egyéb vagyon)</t>
  </si>
  <si>
    <t>Készletek</t>
  </si>
  <si>
    <t>Értékpapírok</t>
  </si>
  <si>
    <t>Nemzeti vagyonba tartozó forgóeszközök összesen:</t>
  </si>
  <si>
    <t>Pénzeszközök</t>
  </si>
  <si>
    <t>D</t>
  </si>
  <si>
    <t>Követelések</t>
  </si>
  <si>
    <t>Költségvetési évben esedékes követelések</t>
  </si>
  <si>
    <t>Költségvetési évet követően esedékes követelések</t>
  </si>
  <si>
    <t>Követelés jellegű sajátos elszámolások</t>
  </si>
  <si>
    <t>Követelések összesen:</t>
  </si>
  <si>
    <t>E</t>
  </si>
  <si>
    <t>Egyéb sajátos eszközoldali elszámolások</t>
  </si>
  <si>
    <t>F</t>
  </si>
  <si>
    <t>Aktív időbeli elhatárolások</t>
  </si>
  <si>
    <t>Eszközök összesen:</t>
  </si>
  <si>
    <t>Források összesen:</t>
  </si>
  <si>
    <t>Sorsz.</t>
  </si>
  <si>
    <t>Intézmény, vagyontárgy megnevezése</t>
  </si>
  <si>
    <t>Nyilvántartási érték (Ft)</t>
  </si>
  <si>
    <t>Martfű Városi Művelődési Központ és Könyvtár</t>
  </si>
  <si>
    <t>B/ Korlátozottan forgalomképes vagyona</t>
  </si>
  <si>
    <t>Alaptevékenység szellemi termékei</t>
  </si>
  <si>
    <t>Gépek, berendezések és felszerelések</t>
  </si>
  <si>
    <t>Szobor</t>
  </si>
  <si>
    <t>Egyéb gépek, berendezések</t>
  </si>
  <si>
    <t>Korlátozottan forgalomképes vagyon összesen:</t>
  </si>
  <si>
    <t>Városi Művelődési Központ és Könyvtár összesen:</t>
  </si>
  <si>
    <t>Martfű Város Önkormányzata Gyermekjóléti és Szociális Szolgáltató Központ</t>
  </si>
  <si>
    <t>vagyoni értékű jogok</t>
  </si>
  <si>
    <t>Számítógépek, számítástechnikai eszközök</t>
  </si>
  <si>
    <t>Járművek</t>
  </si>
  <si>
    <t>Játékvár Óvoda és Bölcsőde összesen:</t>
  </si>
  <si>
    <t>Alaptevékenységhez kapcsolódó vagyoni értékű jogok</t>
  </si>
  <si>
    <t>Alaptevékenység ügyviteli és számítástechnikai eszközei</t>
  </si>
  <si>
    <t>Alaptevékenység egyéb gépei, berendezései , felszerelései</t>
  </si>
  <si>
    <t>Képzőművészeti alkotások</t>
  </si>
  <si>
    <t>Sorsz</t>
  </si>
  <si>
    <t>A/ Forgalomképes vagyona</t>
  </si>
  <si>
    <t>Ingatlanok</t>
  </si>
  <si>
    <t>Alaptevékenység üzleti (forg.) földterületei</t>
  </si>
  <si>
    <t>088/12</t>
  </si>
  <si>
    <t>074/109</t>
  </si>
  <si>
    <t>086/1</t>
  </si>
  <si>
    <t>086/8</t>
  </si>
  <si>
    <t>Iparterület</t>
  </si>
  <si>
    <t>710/84</t>
  </si>
  <si>
    <t>Templomok mögötti földterület</t>
  </si>
  <si>
    <t>349/95</t>
  </si>
  <si>
    <t>1659/2</t>
  </si>
  <si>
    <t>Beépítetlen terület</t>
  </si>
  <si>
    <t>1670/59</t>
  </si>
  <si>
    <t>Alaptevékenység üzleti (forg.) telkei</t>
  </si>
  <si>
    <t>Vendégház körüli telek</t>
  </si>
  <si>
    <t>709/23</t>
  </si>
  <si>
    <t>Szolnok Holt Tisza parti üdülőtelek</t>
  </si>
  <si>
    <t>Tisza-Hús Kft. telek</t>
  </si>
  <si>
    <t>791/8</t>
  </si>
  <si>
    <t>349/93</t>
  </si>
  <si>
    <t>Garázstelek (50db)</t>
  </si>
  <si>
    <t>Fonyód- Bélatelepi üdülő telek</t>
  </si>
  <si>
    <t>Szántó</t>
  </si>
  <si>
    <t>086/31</t>
  </si>
  <si>
    <t>086/32</t>
  </si>
  <si>
    <t>Alaptevékenység lakótelkei és egyéb célú telkei</t>
  </si>
  <si>
    <t>349/54</t>
  </si>
  <si>
    <t>1670/86</t>
  </si>
  <si>
    <t>Belterületi ingatlan (15db)</t>
  </si>
  <si>
    <t>Beépített ingatlan</t>
  </si>
  <si>
    <t>716/7</t>
  </si>
  <si>
    <t>Gépek, berendezések, felszerelések és járművek</t>
  </si>
  <si>
    <t>Alaptevékenység egyéb gépei, berendezései, felszerelései</t>
  </si>
  <si>
    <t>Alaptevékenység járművei</t>
  </si>
  <si>
    <t>Forgalomképes vagyon összesen:</t>
  </si>
  <si>
    <t>Alaptevékenységhez kapcs. vagyoni értékű jogok</t>
  </si>
  <si>
    <t>Park a TCRT és a Mártírok út között</t>
  </si>
  <si>
    <t>794/1</t>
  </si>
  <si>
    <t>Szántó 4</t>
  </si>
  <si>
    <t>011/9</t>
  </si>
  <si>
    <t>011/10</t>
  </si>
  <si>
    <t>Szántó 2</t>
  </si>
  <si>
    <t>022/19</t>
  </si>
  <si>
    <t>Szántó 3,4</t>
  </si>
  <si>
    <t>011/11</t>
  </si>
  <si>
    <t>022/24</t>
  </si>
  <si>
    <t>022/26</t>
  </si>
  <si>
    <t>011/19</t>
  </si>
  <si>
    <t>022/32</t>
  </si>
  <si>
    <t>011/21</t>
  </si>
  <si>
    <t>022/20</t>
  </si>
  <si>
    <t>022/22</t>
  </si>
  <si>
    <t>05/1</t>
  </si>
  <si>
    <t>022/17</t>
  </si>
  <si>
    <t>022/16</t>
  </si>
  <si>
    <t>022/1</t>
  </si>
  <si>
    <t>022/11</t>
  </si>
  <si>
    <t>022/10</t>
  </si>
  <si>
    <t>022/9</t>
  </si>
  <si>
    <t>022/8</t>
  </si>
  <si>
    <t>09/13</t>
  </si>
  <si>
    <t>09/23</t>
  </si>
  <si>
    <t>Szolnoki út melletti terület</t>
  </si>
  <si>
    <t>800/1</t>
  </si>
  <si>
    <t>Tisza ABC melletti földterület</t>
  </si>
  <si>
    <t>802/2</t>
  </si>
  <si>
    <t>804/1</t>
  </si>
  <si>
    <t>Béke úti lakótelep zöldterület</t>
  </si>
  <si>
    <t>806/1</t>
  </si>
  <si>
    <t>810/13</t>
  </si>
  <si>
    <t>Garzonház melletti földterület</t>
  </si>
  <si>
    <t>815/4</t>
  </si>
  <si>
    <t>Ifjúság úti lakótelep zöldterület</t>
  </si>
  <si>
    <t>823/1</t>
  </si>
  <si>
    <t>Bajcsy Zs. úti lakótelep zöldterület</t>
  </si>
  <si>
    <t>831/1</t>
  </si>
  <si>
    <t>Földterület Simon F. úton</t>
  </si>
  <si>
    <t>823/11</t>
  </si>
  <si>
    <t>Május 1. úti zöldterület</t>
  </si>
  <si>
    <t>834/21</t>
  </si>
  <si>
    <t>Közterület Szolnoki úton</t>
  </si>
  <si>
    <t>835/5</t>
  </si>
  <si>
    <t>Földterület közterületen</t>
  </si>
  <si>
    <t>835/9</t>
  </si>
  <si>
    <t>Május 1. út földterülete</t>
  </si>
  <si>
    <t>Szolnoki úti földterület</t>
  </si>
  <si>
    <t>1135/4</t>
  </si>
  <si>
    <t>Dobó K. út melletti földterület</t>
  </si>
  <si>
    <t>Földterület Szabó Pál út mellett</t>
  </si>
  <si>
    <t>1309/4</t>
  </si>
  <si>
    <t>Szabó Pál út melletti földterület</t>
  </si>
  <si>
    <t>1309/5</t>
  </si>
  <si>
    <t>1309/6</t>
  </si>
  <si>
    <t>Vasút mellettti terület Nógrádiút</t>
  </si>
  <si>
    <t>1438/2</t>
  </si>
  <si>
    <t>Hunyadi út melletti földterület</t>
  </si>
  <si>
    <t>1438/7</t>
  </si>
  <si>
    <t>Új temető földterület</t>
  </si>
  <si>
    <t>1440/3</t>
  </si>
  <si>
    <t>Temető út melletti földterület</t>
  </si>
  <si>
    <t>1440/6</t>
  </si>
  <si>
    <t>Garázsok melletti földterület</t>
  </si>
  <si>
    <t>1440/7</t>
  </si>
  <si>
    <t>1453</t>
  </si>
  <si>
    <t>Ipari park melletti földterület</t>
  </si>
  <si>
    <t>1658/1</t>
  </si>
  <si>
    <t>Vasút melletti terület</t>
  </si>
  <si>
    <t>2001</t>
  </si>
  <si>
    <t>Zsófia zártkertek melletti földterület</t>
  </si>
  <si>
    <t>2100/1</t>
  </si>
  <si>
    <t>Vasút melletti védőerdő földterület</t>
  </si>
  <si>
    <t>332</t>
  </si>
  <si>
    <t>343/8</t>
  </si>
  <si>
    <t>Beépítetlen terület Május 1 úton</t>
  </si>
  <si>
    <t>808/2</t>
  </si>
  <si>
    <t>Szennyvíztisztító melletti földterület</t>
  </si>
  <si>
    <t>818/13</t>
  </si>
  <si>
    <t>Transzformátorház alatti földterület</t>
  </si>
  <si>
    <t>349/48</t>
  </si>
  <si>
    <t>Épület alatti földter. (VG)</t>
  </si>
  <si>
    <t>835/4</t>
  </si>
  <si>
    <t>OTP körüli park zöldterület</t>
  </si>
  <si>
    <t>791/13</t>
  </si>
  <si>
    <t>068/11</t>
  </si>
  <si>
    <t>Külterületi ingatlan</t>
  </si>
  <si>
    <t>0118/19</t>
  </si>
  <si>
    <t>Földterület</t>
  </si>
  <si>
    <t>068/48</t>
  </si>
  <si>
    <t>Csatorna alatti földterület</t>
  </si>
  <si>
    <t>057</t>
  </si>
  <si>
    <t>Öntöző csatorna földterület</t>
  </si>
  <si>
    <t>058/3</t>
  </si>
  <si>
    <t>059</t>
  </si>
  <si>
    <t>Földterület Kivett út</t>
  </si>
  <si>
    <t>061</t>
  </si>
  <si>
    <t>080</t>
  </si>
  <si>
    <t>Mártírok út házsor mögötti földterüle</t>
  </si>
  <si>
    <t>349/25</t>
  </si>
  <si>
    <t>Városközpont földter. Mártírok út</t>
  </si>
  <si>
    <t>349/58</t>
  </si>
  <si>
    <t>Tigáz előtti terület földterület</t>
  </si>
  <si>
    <t>350/9</t>
  </si>
  <si>
    <t>Ibolya virágszalon földterület</t>
  </si>
  <si>
    <t>368/4</t>
  </si>
  <si>
    <t>Munkácsy úti zöldterület</t>
  </si>
  <si>
    <t>370/12</t>
  </si>
  <si>
    <t>Telek Rendőrségnél</t>
  </si>
  <si>
    <t>Telek Kossuth Nyugd. Klubnál</t>
  </si>
  <si>
    <t>270/1</t>
  </si>
  <si>
    <t>Telek "ÁFÉSZ Diszkontnál"</t>
  </si>
  <si>
    <t>Telek Rózsaszín ovi körül</t>
  </si>
  <si>
    <t>349/50</t>
  </si>
  <si>
    <t>Kertészte telek</t>
  </si>
  <si>
    <t>791/9</t>
  </si>
  <si>
    <t>806/3</t>
  </si>
  <si>
    <t>Telek új autóbuszváró</t>
  </si>
  <si>
    <t>798/24</t>
  </si>
  <si>
    <t>Autóbusz pu.aszfaltút telk.</t>
  </si>
  <si>
    <t>798/25</t>
  </si>
  <si>
    <t>Telek gyermekorvosi rendelő</t>
  </si>
  <si>
    <t>Telek Eü. Háznál</t>
  </si>
  <si>
    <t>Műv. Központ telke</t>
  </si>
  <si>
    <t>796/17</t>
  </si>
  <si>
    <t>Telek Kossuth út 22.</t>
  </si>
  <si>
    <t>Telek Május 1. út 19.</t>
  </si>
  <si>
    <t>808/5</t>
  </si>
  <si>
    <t>Telek Munkácsy út 79.</t>
  </si>
  <si>
    <t>349/14</t>
  </si>
  <si>
    <t>Telek Kossuth út 24</t>
  </si>
  <si>
    <t>Ipartelep</t>
  </si>
  <si>
    <t>09/2</t>
  </si>
  <si>
    <t>015</t>
  </si>
  <si>
    <t>Vízmű</t>
  </si>
  <si>
    <t>010</t>
  </si>
  <si>
    <t>Beépítetlen terület (Szolnoki út 123.)</t>
  </si>
  <si>
    <t>Központi játszótér földterület</t>
  </si>
  <si>
    <t>Bölcsőde földterülete (telek)</t>
  </si>
  <si>
    <t>Tiszaparti garázsok alatti földterület</t>
  </si>
  <si>
    <t>Hunyadi út 9/c. Belterületi földter</t>
  </si>
  <si>
    <t>Bélatelep</t>
  </si>
  <si>
    <t>AC Raktár</t>
  </si>
  <si>
    <t>Mentőállomás</t>
  </si>
  <si>
    <t>Családsegítő telek</t>
  </si>
  <si>
    <t>Alaptevékenység egyéb épületei, építményei</t>
  </si>
  <si>
    <t>Városháza</t>
  </si>
  <si>
    <t>349/56</t>
  </si>
  <si>
    <t>Új telephely kialakítása</t>
  </si>
  <si>
    <t>810/5</t>
  </si>
  <si>
    <t>Művelődési Központ fejlesztése</t>
  </si>
  <si>
    <t>Május 1.úti Óvoda tetőfel.</t>
  </si>
  <si>
    <t>Bélatelep faház</t>
  </si>
  <si>
    <t>Fűtés kialakítás Szolnoki ú.</t>
  </si>
  <si>
    <t>Ipartelep és 3 üzemi épület</t>
  </si>
  <si>
    <t>716/8</t>
  </si>
  <si>
    <t>AC-Raktár Május 1 út 1.</t>
  </si>
  <si>
    <t>349/2</t>
  </si>
  <si>
    <t>251/1</t>
  </si>
  <si>
    <t>Rendőrség</t>
  </si>
  <si>
    <t>835/6</t>
  </si>
  <si>
    <t>Kossuth Nyugdíjas Klub</t>
  </si>
  <si>
    <t>251/2</t>
  </si>
  <si>
    <t>Volt Rózsaszín óvoda/Munkácsy</t>
  </si>
  <si>
    <t>Önkormányzati bérlakás Szol.</t>
  </si>
  <si>
    <t>Faház/Kresszparkban/</t>
  </si>
  <si>
    <t>Bölcsőde</t>
  </si>
  <si>
    <t>806/2</t>
  </si>
  <si>
    <t>Régi temetőben épület</t>
  </si>
  <si>
    <t>094</t>
  </si>
  <si>
    <t>Szivattyúház</t>
  </si>
  <si>
    <t>791/12</t>
  </si>
  <si>
    <t>Családsegítő épülete</t>
  </si>
  <si>
    <t>808/6</t>
  </si>
  <si>
    <t>Autóbuszváró</t>
  </si>
  <si>
    <t>798/23</t>
  </si>
  <si>
    <t>konyha erőátviteli berend</t>
  </si>
  <si>
    <t>Egészségház</t>
  </si>
  <si>
    <t>808/7</t>
  </si>
  <si>
    <t>Sportöltöző</t>
  </si>
  <si>
    <t>822/1</t>
  </si>
  <si>
    <t>KEOP-4.4.0 napelem</t>
  </si>
  <si>
    <t>Cipőgyári parkban járda</t>
  </si>
  <si>
    <t>749/1</t>
  </si>
  <si>
    <t>Bat'a tér kialakítás</t>
  </si>
  <si>
    <t>Csapadékelvezető árok</t>
  </si>
  <si>
    <t>Kérész úti buszmegálló járda</t>
  </si>
  <si>
    <t>Strand út építése</t>
  </si>
  <si>
    <t>Szabadidőpark kialakítása</t>
  </si>
  <si>
    <t>Kerti sütögető</t>
  </si>
  <si>
    <t>Játszótéri eszköz üdülőbe</t>
  </si>
  <si>
    <t>Bélatelep kerítés</t>
  </si>
  <si>
    <t>Kerítés AC-Raktárnál</t>
  </si>
  <si>
    <t>Kerítés Kossuth Nyugdíjas K.</t>
  </si>
  <si>
    <t>Kerítés Mentőállomásnál</t>
  </si>
  <si>
    <t>Kerítés volt Rózsaszín ovin</t>
  </si>
  <si>
    <t>Kerítés Mártírok sulinál</t>
  </si>
  <si>
    <t>Öntözőrendszer felújítása</t>
  </si>
  <si>
    <t>Polg. Hivatalnál 2db ivókút</t>
  </si>
  <si>
    <t>Hajókikötő tér</t>
  </si>
  <si>
    <t>Bata tér kialakítása</t>
  </si>
  <si>
    <t>Móló felújítása</t>
  </si>
  <si>
    <t>Kikötőtér kialakítása</t>
  </si>
  <si>
    <t>Munkácsy úti buszmegálló 2db</t>
  </si>
  <si>
    <t>Öntöző csatorna</t>
  </si>
  <si>
    <t>Árok (belvizi csatorna)</t>
  </si>
  <si>
    <t>Öntözőcsatorna</t>
  </si>
  <si>
    <t>Régi temető kerítés</t>
  </si>
  <si>
    <t>1658/2</t>
  </si>
  <si>
    <t>Transzformátor Ált. Isk.</t>
  </si>
  <si>
    <t>Piactér szennyvízelvezetése</t>
  </si>
  <si>
    <t>Játszótér (Babits M úton)</t>
  </si>
  <si>
    <t>III. számú lakótömb közmű</t>
  </si>
  <si>
    <t>Szeméttelep hulladék tároló</t>
  </si>
  <si>
    <t>Munkácsy úti játszópark ker</t>
  </si>
  <si>
    <t>580/10</t>
  </si>
  <si>
    <t>Szabadidőpark melletti belv.</t>
  </si>
  <si>
    <t>710/20</t>
  </si>
  <si>
    <t>Ravatalozó belső kerítés</t>
  </si>
  <si>
    <t>Bölcsőde kerítés</t>
  </si>
  <si>
    <t>Bölcsőde melletti garázs ép</t>
  </si>
  <si>
    <t>Gázcseretelep</t>
  </si>
  <si>
    <t>Kommunális hulladéklerakó</t>
  </si>
  <si>
    <t>Városháza külső vízközmű</t>
  </si>
  <si>
    <t>349/59</t>
  </si>
  <si>
    <t>Villanyhálózat Simon F. út</t>
  </si>
  <si>
    <t>Urnatartófal</t>
  </si>
  <si>
    <t>Temető út közvilágítás</t>
  </si>
  <si>
    <t>Központi játszótér</t>
  </si>
  <si>
    <t>810/11</t>
  </si>
  <si>
    <t>074/42</t>
  </si>
  <si>
    <t>Kerékpártároló</t>
  </si>
  <si>
    <t>Új köztemetőben útépítés</t>
  </si>
  <si>
    <t>Nyilvános WC</t>
  </si>
  <si>
    <t>Vízelvezető árok és földter.</t>
  </si>
  <si>
    <t>Közvilágítás létesítés</t>
  </si>
  <si>
    <t>349/81</t>
  </si>
  <si>
    <t>Városközpont közművei</t>
  </si>
  <si>
    <t>Munkácsy úti játszópark fel.</t>
  </si>
  <si>
    <t>Hunyadi úti játszótér</t>
  </si>
  <si>
    <t>1454/6</t>
  </si>
  <si>
    <t>Közvilágítás korszerűsítés M</t>
  </si>
  <si>
    <t>307/3</t>
  </si>
  <si>
    <t>Cipőgyári ltp. Ivóvízhálózata</t>
  </si>
  <si>
    <t>793/1</t>
  </si>
  <si>
    <t>Szennyvíztelepi út közvilág</t>
  </si>
  <si>
    <t>818/10</t>
  </si>
  <si>
    <t>Kétüléses lengőhinta</t>
  </si>
  <si>
    <t>Kosárlabdapálya-aszfaltozási munkák</t>
  </si>
  <si>
    <t>Hunyadi úti játszótér Unile</t>
  </si>
  <si>
    <t>Dózsa György szobor</t>
  </si>
  <si>
    <t>Griff szobor</t>
  </si>
  <si>
    <t>798/19</t>
  </si>
  <si>
    <t>Garázs Eü.háznál /dupla/</t>
  </si>
  <si>
    <t>Fémvázas mobilszínpad+szí.</t>
  </si>
  <si>
    <t>Kerítés Sport</t>
  </si>
  <si>
    <t>Sportpálya labdafogó háló</t>
  </si>
  <si>
    <t>Babits úti játszótér</t>
  </si>
  <si>
    <t>796/14</t>
  </si>
  <si>
    <t>Piactér és piactéri parkoló</t>
  </si>
  <si>
    <t>798/23;346</t>
  </si>
  <si>
    <t>796/13</t>
  </si>
  <si>
    <t>306/1</t>
  </si>
  <si>
    <t>Bölcsőde udvarán Játszótéri komb. Torony LUCA</t>
  </si>
  <si>
    <t>Teniszpálya</t>
  </si>
  <si>
    <t>808/3</t>
  </si>
  <si>
    <t>Kerítés 263 fm Május 1 út 19</t>
  </si>
  <si>
    <t>Kazánház 13 m2 Kossuth út 22</t>
  </si>
  <si>
    <t>Tároló 15 m2 Kossuth út 22</t>
  </si>
  <si>
    <t>Kerítés 122 fm Kossuth út 22</t>
  </si>
  <si>
    <t>Bölcsőde udvarán játszótéri eszköz</t>
  </si>
  <si>
    <t>Kapu bejárati -Általános Iskola</t>
  </si>
  <si>
    <t>Zsírfogó tartály ált.isk.</t>
  </si>
  <si>
    <t>Kerítés 47 fm Kossuth út 24</t>
  </si>
  <si>
    <t>Ingatlanokhoz kapcsolódó folyamatban maradó beruházások</t>
  </si>
  <si>
    <t>Alaptevékenység egyéb gépei, berendezései és felszerelései</t>
  </si>
  <si>
    <t>Egyéb állom-ba vett, értéket nem csökkentő eszközök</t>
  </si>
  <si>
    <t>C/ Forgalomképtelen vagyona</t>
  </si>
  <si>
    <t>Alaptevékenység földterületei</t>
  </si>
  <si>
    <t>Városközpont földterület</t>
  </si>
  <si>
    <t>349</t>
  </si>
  <si>
    <t>Városközpont</t>
  </si>
  <si>
    <t>Virág út alatti földterület</t>
  </si>
  <si>
    <t>507/17</t>
  </si>
  <si>
    <t>Liliom út alatti földterület</t>
  </si>
  <si>
    <t>520</t>
  </si>
  <si>
    <t>Széchenyi út alatti földterület</t>
  </si>
  <si>
    <t>543</t>
  </si>
  <si>
    <t>Madách út alatti földterület</t>
  </si>
  <si>
    <t>561</t>
  </si>
  <si>
    <t>Déryné út alatti földterület</t>
  </si>
  <si>
    <t>581</t>
  </si>
  <si>
    <t>580/9</t>
  </si>
  <si>
    <t>592</t>
  </si>
  <si>
    <t>Kölcsey út alatti földterület</t>
  </si>
  <si>
    <t>15</t>
  </si>
  <si>
    <t>625</t>
  </si>
  <si>
    <t>Táncsics M. út alatti földterület</t>
  </si>
  <si>
    <t>603</t>
  </si>
  <si>
    <t>636</t>
  </si>
  <si>
    <t>Bercsényi út alatti földterület</t>
  </si>
  <si>
    <t>614</t>
  </si>
  <si>
    <t>Damjanich út alatti földterület</t>
  </si>
  <si>
    <t>647</t>
  </si>
  <si>
    <t>717</t>
  </si>
  <si>
    <t>678</t>
  </si>
  <si>
    <t>790</t>
  </si>
  <si>
    <t>Kerékpárút és járda alatti földterület</t>
  </si>
  <si>
    <t>707</t>
  </si>
  <si>
    <t>Külterületi út földterület</t>
  </si>
  <si>
    <t>024</t>
  </si>
  <si>
    <t>Móricz Zs. út alatti földterület</t>
  </si>
  <si>
    <t>709/24</t>
  </si>
  <si>
    <t>Krúdy Gy. út alatti földterület</t>
  </si>
  <si>
    <t>709/34</t>
  </si>
  <si>
    <t>Tóth Árpád út alatti földterület</t>
  </si>
  <si>
    <t>709/42</t>
  </si>
  <si>
    <t>Vajda J. út alatti földterület</t>
  </si>
  <si>
    <t>709/68</t>
  </si>
  <si>
    <t>709/74</t>
  </si>
  <si>
    <t>Járda alatti földterület</t>
  </si>
  <si>
    <t>710/42</t>
  </si>
  <si>
    <t>Tüzép út alatti földterület</t>
  </si>
  <si>
    <t>710/43</t>
  </si>
  <si>
    <t>Ady E. út alatti földterület</t>
  </si>
  <si>
    <t>28</t>
  </si>
  <si>
    <t>Erdő út alatti földterület</t>
  </si>
  <si>
    <t>710/46</t>
  </si>
  <si>
    <t>Kassák L. út alatti földterület</t>
  </si>
  <si>
    <t>710/53</t>
  </si>
  <si>
    <t>Babits M. út alatti földterület</t>
  </si>
  <si>
    <t>710/64</t>
  </si>
  <si>
    <t>1367</t>
  </si>
  <si>
    <t>1384</t>
  </si>
  <si>
    <t>710/65</t>
  </si>
  <si>
    <t>710/71</t>
  </si>
  <si>
    <t>716/5</t>
  </si>
  <si>
    <t>716/10</t>
  </si>
  <si>
    <t>64</t>
  </si>
  <si>
    <t>716/33</t>
  </si>
  <si>
    <t>716/35</t>
  </si>
  <si>
    <t>716/37</t>
  </si>
  <si>
    <t>716/40</t>
  </si>
  <si>
    <t>Munkácsy út alatti földterület</t>
  </si>
  <si>
    <t>718</t>
  </si>
  <si>
    <t>762</t>
  </si>
  <si>
    <t>779</t>
  </si>
  <si>
    <t>793/2</t>
  </si>
  <si>
    <t>104</t>
  </si>
  <si>
    <t>Mártírok út alatti földterület</t>
  </si>
  <si>
    <t>795</t>
  </si>
  <si>
    <t>Hősök tere út alatti földterület</t>
  </si>
  <si>
    <t>803/1</t>
  </si>
  <si>
    <t>809</t>
  </si>
  <si>
    <t>Simon F. út alatti földterület</t>
  </si>
  <si>
    <t>803/2</t>
  </si>
  <si>
    <t>805</t>
  </si>
  <si>
    <t>028/30</t>
  </si>
  <si>
    <t>811</t>
  </si>
  <si>
    <t>Béke út alatti földterület</t>
  </si>
  <si>
    <t>807</t>
  </si>
  <si>
    <t>Tiszavirág út alatti földterület</t>
  </si>
  <si>
    <t>816/10</t>
  </si>
  <si>
    <t>Tisza-parti út alatti földterület</t>
  </si>
  <si>
    <t>817</t>
  </si>
  <si>
    <t>Ifjúság út alatti földterület</t>
  </si>
  <si>
    <t>818/1</t>
  </si>
  <si>
    <t>823/2</t>
  </si>
  <si>
    <t>Jókai út földterület</t>
  </si>
  <si>
    <t>42/5</t>
  </si>
  <si>
    <t>028/67</t>
  </si>
  <si>
    <t>Strand út alatti földterület</t>
  </si>
  <si>
    <t>820/4</t>
  </si>
  <si>
    <t>Szolnoki út földterület</t>
  </si>
  <si>
    <t>823/30</t>
  </si>
  <si>
    <t>Bajcsy Zs. út alatti földterület</t>
  </si>
  <si>
    <t>830</t>
  </si>
  <si>
    <t>Kertes ABC melletti parkoló alatti</t>
  </si>
  <si>
    <t>250/1</t>
  </si>
  <si>
    <t>028/68</t>
  </si>
  <si>
    <t>Garázssor melletti út földterület</t>
  </si>
  <si>
    <t>838</t>
  </si>
  <si>
    <t>907/3</t>
  </si>
  <si>
    <t>1133</t>
  </si>
  <si>
    <t>1136</t>
  </si>
  <si>
    <t>Radnóti út alatti földterület</t>
  </si>
  <si>
    <t>1146</t>
  </si>
  <si>
    <t>Csók István út alatti földterület</t>
  </si>
  <si>
    <t>1157/1</t>
  </si>
  <si>
    <t>029</t>
  </si>
  <si>
    <t>Varga Katalin út alatti földterület</t>
  </si>
  <si>
    <t>1157/3</t>
  </si>
  <si>
    <t>Dobó K. út alatti földterület</t>
  </si>
  <si>
    <t>1186</t>
  </si>
  <si>
    <t>Szabó Pál út alatti földterület</t>
  </si>
  <si>
    <t>Veres P. út alatti földterület</t>
  </si>
  <si>
    <t>1267</t>
  </si>
  <si>
    <t>Bem J. út alatti földterület</t>
  </si>
  <si>
    <t>1284</t>
  </si>
  <si>
    <t>Móra F. út alatti földterület</t>
  </si>
  <si>
    <t>1308</t>
  </si>
  <si>
    <t>030</t>
  </si>
  <si>
    <t>Mikszáth K. út alatti földterület</t>
  </si>
  <si>
    <t>1396</t>
  </si>
  <si>
    <t>1412</t>
  </si>
  <si>
    <t>Juhász Gy. út alatti földterület</t>
  </si>
  <si>
    <t>1423/1</t>
  </si>
  <si>
    <t>Szolnoki út út alatti földterület</t>
  </si>
  <si>
    <t>1423/2</t>
  </si>
  <si>
    <t>Földterület út földterület</t>
  </si>
  <si>
    <t>035</t>
  </si>
  <si>
    <t>Rákóczi út t alatti földterület</t>
  </si>
  <si>
    <t>Temetőhöz vezető út alatti föld</t>
  </si>
  <si>
    <t>1440/2</t>
  </si>
  <si>
    <t>Vasvári Pál út alatti földterület</t>
  </si>
  <si>
    <t>Kossuth út alatti földterület</t>
  </si>
  <si>
    <t>Tompa M. út alatti földterület</t>
  </si>
  <si>
    <t>036</t>
  </si>
  <si>
    <t>Deák F. út alatti földterület</t>
  </si>
  <si>
    <t>1493</t>
  </si>
  <si>
    <t>1504</t>
  </si>
  <si>
    <t>1560</t>
  </si>
  <si>
    <t>Új garázsokhoz vezető út földt.</t>
  </si>
  <si>
    <t>1615/52</t>
  </si>
  <si>
    <t>Ipari parkhoz vezető út alatti földt</t>
  </si>
  <si>
    <t>1657</t>
  </si>
  <si>
    <t>Ipari-park út földterület</t>
  </si>
  <si>
    <t>037/5</t>
  </si>
  <si>
    <t>Zsófia út földterület</t>
  </si>
  <si>
    <t>2039</t>
  </si>
  <si>
    <t>2109</t>
  </si>
  <si>
    <t>2138</t>
  </si>
  <si>
    <t>2148</t>
  </si>
  <si>
    <t>67/1</t>
  </si>
  <si>
    <t>110/1</t>
  </si>
  <si>
    <t>037/21</t>
  </si>
  <si>
    <t>037/26</t>
  </si>
  <si>
    <t>Strand út 8/a közterület</t>
  </si>
  <si>
    <t>818/18</t>
  </si>
  <si>
    <t>Közút</t>
  </si>
  <si>
    <t>819/2</t>
  </si>
  <si>
    <t>Közpark</t>
  </si>
  <si>
    <t>1650</t>
  </si>
  <si>
    <t>Géza fejedelem út alatti földt</t>
  </si>
  <si>
    <t>349/96</t>
  </si>
  <si>
    <t>Református templom melletti f</t>
  </si>
  <si>
    <t>349/97</t>
  </si>
  <si>
    <t>039/2</t>
  </si>
  <si>
    <t>Zsófia első út földterület</t>
  </si>
  <si>
    <t>2021/5</t>
  </si>
  <si>
    <t>52</t>
  </si>
  <si>
    <t>Beépítetlen földterület</t>
  </si>
  <si>
    <t>1670/1</t>
  </si>
  <si>
    <t>Külterületi út földút</t>
  </si>
  <si>
    <t>058/4</t>
  </si>
  <si>
    <t>060</t>
  </si>
  <si>
    <t>065</t>
  </si>
  <si>
    <t>067</t>
  </si>
  <si>
    <t>068/12</t>
  </si>
  <si>
    <t>068/16</t>
  </si>
  <si>
    <t>068/19</t>
  </si>
  <si>
    <t>070/1</t>
  </si>
  <si>
    <t>070/2</t>
  </si>
  <si>
    <t>074/19</t>
  </si>
  <si>
    <t>074/44</t>
  </si>
  <si>
    <t>074/66</t>
  </si>
  <si>
    <t>076/1</t>
  </si>
  <si>
    <t>076/2</t>
  </si>
  <si>
    <t>87</t>
  </si>
  <si>
    <t>Temető és kövér major közötti f</t>
  </si>
  <si>
    <t>093/1</t>
  </si>
  <si>
    <t>Szeméttelepi út földterület</t>
  </si>
  <si>
    <t>093/2</t>
  </si>
  <si>
    <t>Régi temető földterület</t>
  </si>
  <si>
    <t>098</t>
  </si>
  <si>
    <t>Rákóczi út kerékpárút-járda</t>
  </si>
  <si>
    <t>134/2</t>
  </si>
  <si>
    <t>Rákóczi út járda alatti földterület</t>
  </si>
  <si>
    <t>134/3</t>
  </si>
  <si>
    <t>134/19</t>
  </si>
  <si>
    <t>134/21</t>
  </si>
  <si>
    <t>Bocskai út alatti földterület</t>
  </si>
  <si>
    <t>145</t>
  </si>
  <si>
    <t>195</t>
  </si>
  <si>
    <t>149/2</t>
  </si>
  <si>
    <t>159/3</t>
  </si>
  <si>
    <t>183</t>
  </si>
  <si>
    <t>Zrínyi út alatti földterület</t>
  </si>
  <si>
    <t>196/1</t>
  </si>
  <si>
    <t>Arany J. út alatti földterület</t>
  </si>
  <si>
    <t>220</t>
  </si>
  <si>
    <t>Tisza A. út alatti földterület</t>
  </si>
  <si>
    <t>222/2</t>
  </si>
  <si>
    <t>249</t>
  </si>
  <si>
    <t>József A. út alatti földterület</t>
  </si>
  <si>
    <t>255/2</t>
  </si>
  <si>
    <t>269</t>
  </si>
  <si>
    <t>270/3</t>
  </si>
  <si>
    <t>Petőfi út alatti földterület</t>
  </si>
  <si>
    <t>305</t>
  </si>
  <si>
    <t>Vasúti átjáró földterület</t>
  </si>
  <si>
    <t>343/3</t>
  </si>
  <si>
    <t>Martos Flóra út alatti földterület</t>
  </si>
  <si>
    <t>349/4</t>
  </si>
  <si>
    <t>Városközpont melletti kerékpárút f</t>
  </si>
  <si>
    <t>349/35</t>
  </si>
  <si>
    <t>Szent István körút út-járda alatti f</t>
  </si>
  <si>
    <t>349/60</t>
  </si>
  <si>
    <t>Géza fejedelem út alatti f</t>
  </si>
  <si>
    <t>349/85</t>
  </si>
  <si>
    <t>Szolnoki út kerékpárút alatti f</t>
  </si>
  <si>
    <t>350/4</t>
  </si>
  <si>
    <t>350/7</t>
  </si>
  <si>
    <t>Május 1 út alatti földterület</t>
  </si>
  <si>
    <t>Szolnoki út kerékpárút alatti föld</t>
  </si>
  <si>
    <t>Rekultivált földterület</t>
  </si>
  <si>
    <t>092/5</t>
  </si>
  <si>
    <t>Nefelejcs út földterület</t>
  </si>
  <si>
    <t>Szolnoki út járda kerékpárút</t>
  </si>
  <si>
    <t>382/1</t>
  </si>
  <si>
    <t>Kőrizs út alatti földterület</t>
  </si>
  <si>
    <t>Akácfa út alatti földterület</t>
  </si>
  <si>
    <t>Hársfa út alatti földterület</t>
  </si>
  <si>
    <t>Zöldfa út alatti földterület</t>
  </si>
  <si>
    <t>Szegfű út alatti földterület</t>
  </si>
  <si>
    <t>Tulipán út alatti földterület</t>
  </si>
  <si>
    <t>Alaptevékenység egyéb építményei</t>
  </si>
  <si>
    <t>Széchenyi úti járda építés</t>
  </si>
  <si>
    <t>Fekvőrendőr (Munkácsy út)</t>
  </si>
  <si>
    <t>Jókai út járda</t>
  </si>
  <si>
    <t>042/5</t>
  </si>
  <si>
    <t>Jókai út aszfaltút</t>
  </si>
  <si>
    <t>067/1</t>
  </si>
  <si>
    <t>Ady E. út aszfalút</t>
  </si>
  <si>
    <t>Ady E. út járda</t>
  </si>
  <si>
    <t>Váci M. út aszfalút</t>
  </si>
  <si>
    <t>Váci M. út járda</t>
  </si>
  <si>
    <t>Radnóti út aszfaltút</t>
  </si>
  <si>
    <t>Városközpont útépítés</t>
  </si>
  <si>
    <t>Radnóti út járda</t>
  </si>
  <si>
    <t>Csók I. út járda</t>
  </si>
  <si>
    <t>Csók I. út aszfaltút</t>
  </si>
  <si>
    <t>Varga K. út járda</t>
  </si>
  <si>
    <t>Dobó K. út aszfaltút</t>
  </si>
  <si>
    <t>Dobó K. út járda</t>
  </si>
  <si>
    <t>Szabó P. út aszfalút</t>
  </si>
  <si>
    <t>Földút hunyadi út</t>
  </si>
  <si>
    <t>Hunyadi út aszfaltút</t>
  </si>
  <si>
    <t>Rákóczi út járda</t>
  </si>
  <si>
    <t>Kerékpár út Rákóczi út</t>
  </si>
  <si>
    <t>Rákóczi út kerékpár út</t>
  </si>
  <si>
    <t>Babits M. út járda</t>
  </si>
  <si>
    <t>Mikszáth K. út járda</t>
  </si>
  <si>
    <t>Útpadka és út (Május 1. úton)</t>
  </si>
  <si>
    <t>Krudy Gy. út járda</t>
  </si>
  <si>
    <t>Szolnoki aszfaltút</t>
  </si>
  <si>
    <t>Temetőhöz vezető aszfaltút</t>
  </si>
  <si>
    <t>Hunyadi út aszfalút</t>
  </si>
  <si>
    <t>Kossuth út járda</t>
  </si>
  <si>
    <t>Tompa M. út aszfalút</t>
  </si>
  <si>
    <t>Tompa M. út járda</t>
  </si>
  <si>
    <t>Kölcsey út aszfalút</t>
  </si>
  <si>
    <t>305/1133</t>
  </si>
  <si>
    <t>Garázssor melletti földút</t>
  </si>
  <si>
    <t>Ipari parkhoz vezető út asz</t>
  </si>
  <si>
    <t>Bocskai út aszfaltút</t>
  </si>
  <si>
    <t>145, 195</t>
  </si>
  <si>
    <t>Zrínyi út járda</t>
  </si>
  <si>
    <t>Arany J. út járda és út</t>
  </si>
  <si>
    <t>Tisza A. út aszfaltút</t>
  </si>
  <si>
    <t>Tisza A. út járda</t>
  </si>
  <si>
    <t>Parkoló Kertes ABC mellett</t>
  </si>
  <si>
    <t>József A. út aszfaltút</t>
  </si>
  <si>
    <t>József A. út járda</t>
  </si>
  <si>
    <t>Ady E. aszfaltút</t>
  </si>
  <si>
    <t>Martos F. út aszfaltút</t>
  </si>
  <si>
    <t>Martos F. út járda</t>
  </si>
  <si>
    <t>Munkácsy út aszfaltút</t>
  </si>
  <si>
    <t>349/87</t>
  </si>
  <si>
    <t>Géza fejedelem út</t>
  </si>
  <si>
    <t>Kerékpár út Szolnoki út</t>
  </si>
  <si>
    <t>Út Május 1. úton</t>
  </si>
  <si>
    <t>Járda Szolnoki út</t>
  </si>
  <si>
    <t>Nefelecs út aszfaltút</t>
  </si>
  <si>
    <t>Nefelejcs út járda</t>
  </si>
  <si>
    <t>Szolnoki út járda</t>
  </si>
  <si>
    <t>Akácfa út aszfaltút</t>
  </si>
  <si>
    <t>Akácfa út járda</t>
  </si>
  <si>
    <t>Hársfa út járda</t>
  </si>
  <si>
    <t>Zöldfa út járda</t>
  </si>
  <si>
    <t>Szegfű út járda</t>
  </si>
  <si>
    <t>Virág út aszfaltút</t>
  </si>
  <si>
    <t>Virág út járda</t>
  </si>
  <si>
    <t>Széchenyi út járda</t>
  </si>
  <si>
    <t>Madách út járda</t>
  </si>
  <si>
    <t>Déryné út aszfaltút</t>
  </si>
  <si>
    <t>Déryné út járda</t>
  </si>
  <si>
    <t>Táncsics M. út járda</t>
  </si>
  <si>
    <t>Bercsényi út járda</t>
  </si>
  <si>
    <t>Ady Endre út aszfaltút</t>
  </si>
  <si>
    <t>Ady Endre út járda</t>
  </si>
  <si>
    <t>Damjanich út járda</t>
  </si>
  <si>
    <t>Kerékpár út Szolnoki</t>
  </si>
  <si>
    <t>Móricz Zs. út aszfaltút</t>
  </si>
  <si>
    <t>Krúdy Gy. út járda</t>
  </si>
  <si>
    <t>Tóth Á. út járda</t>
  </si>
  <si>
    <t>Vajda J. út járda</t>
  </si>
  <si>
    <t>Tüzép út-út</t>
  </si>
  <si>
    <t>Kassák út járda</t>
  </si>
  <si>
    <t>Babits M út aszfaltút</t>
  </si>
  <si>
    <t>Babits M út járda</t>
  </si>
  <si>
    <t>Kassák L. út aszfaltút</t>
  </si>
  <si>
    <t>Kassák L. út járda</t>
  </si>
  <si>
    <t>Mártírok út</t>
  </si>
  <si>
    <t>Szolnoki út melletti aszfaltút</t>
  </si>
  <si>
    <t>Hősök tere aszfaltút</t>
  </si>
  <si>
    <t>Simon F. út aszfaltút</t>
  </si>
  <si>
    <t>Béke út aszfaltút</t>
  </si>
  <si>
    <t>Május 1 út aszfaltút</t>
  </si>
  <si>
    <t>812</t>
  </si>
  <si>
    <t>Tiszavirág út aszfaltút</t>
  </si>
  <si>
    <t>Tisza parti út aszfaltút</t>
  </si>
  <si>
    <t>Ifjúság út aszfaltút</t>
  </si>
  <si>
    <t>Strand út aszfaltút</t>
  </si>
  <si>
    <t>Járda-kerékpárút Szolnoki út</t>
  </si>
  <si>
    <t>823/20</t>
  </si>
  <si>
    <t>Parkoló Szolnoki úti ltp.</t>
  </si>
  <si>
    <t>Bajcsy Zs. aszfaltút</t>
  </si>
  <si>
    <t>832</t>
  </si>
  <si>
    <t>Kossuth út aszfaltút</t>
  </si>
  <si>
    <t>Veres P. út aszfaltút</t>
  </si>
  <si>
    <t>Hunyadi út járda</t>
  </si>
  <si>
    <t>Tulipán út járda</t>
  </si>
  <si>
    <t>506</t>
  </si>
  <si>
    <t>Móricz Zs. út betonjárda</t>
  </si>
  <si>
    <t>Földút Zsófia első út jobbra</t>
  </si>
  <si>
    <t>Tiszaparti garázssor útalap</t>
  </si>
  <si>
    <t>Árpád fejedelem út közművesítés</t>
  </si>
  <si>
    <t>Ravatalozó gázellátó</t>
  </si>
  <si>
    <t>Gyalog átkelőhely</t>
  </si>
  <si>
    <t>367</t>
  </si>
  <si>
    <t>Eü parkoló</t>
  </si>
  <si>
    <t>Szent István út melletti parkoló</t>
  </si>
  <si>
    <t>Hajóállomás</t>
  </si>
  <si>
    <t>810/2</t>
  </si>
  <si>
    <t>Autóbusz váró</t>
  </si>
  <si>
    <t>Szent István út melletti járda</t>
  </si>
  <si>
    <t>Szent István tér</t>
  </si>
  <si>
    <t>Déli főtér</t>
  </si>
  <si>
    <t>349/83</t>
  </si>
  <si>
    <t>Szent István út bekötés</t>
  </si>
  <si>
    <t>346</t>
  </si>
  <si>
    <t>Hunyadi úti járda</t>
  </si>
  <si>
    <t>1505</t>
  </si>
  <si>
    <t>Deák F. úti járda</t>
  </si>
  <si>
    <t>Vasvári P. út járda</t>
  </si>
  <si>
    <t>1452</t>
  </si>
  <si>
    <t>Táncsics út járda</t>
  </si>
  <si>
    <t>Liliom úti járda</t>
  </si>
  <si>
    <t>Munkácsy úti járda</t>
  </si>
  <si>
    <t>379</t>
  </si>
  <si>
    <t>Új garázsokhoz útalap építés</t>
  </si>
  <si>
    <t>Zsófia zártkert útalap</t>
  </si>
  <si>
    <t>Szabó Pál út járda</t>
  </si>
  <si>
    <t>1250</t>
  </si>
  <si>
    <t>Veres P. út járda</t>
  </si>
  <si>
    <t>Móra F. út járda</t>
  </si>
  <si>
    <t>Bocskai út járda</t>
  </si>
  <si>
    <t>145,195</t>
  </si>
  <si>
    <t>Kölcsey út járda</t>
  </si>
  <si>
    <t>Autóbusz végállomás</t>
  </si>
  <si>
    <t>Szent István tér parkosítás</t>
  </si>
  <si>
    <t>Móricz Zs. út járda</t>
  </si>
  <si>
    <t>87,249</t>
  </si>
  <si>
    <t>Városközpont leállósáv</t>
  </si>
  <si>
    <t>Körforgalom</t>
  </si>
  <si>
    <t>Deák F. út lezárása aszfalt</t>
  </si>
  <si>
    <t>1455</t>
  </si>
  <si>
    <t>Vasvári P. út</t>
  </si>
  <si>
    <t>Mikszáth út aszfaltút</t>
  </si>
  <si>
    <t>Babits M. út aszfaltút</t>
  </si>
  <si>
    <t>1367,1384</t>
  </si>
  <si>
    <t>Móra F. út aszfaltút</t>
  </si>
  <si>
    <t>1200</t>
  </si>
  <si>
    <t>Erdő út aszfaltút</t>
  </si>
  <si>
    <t>710/71,710/53</t>
  </si>
  <si>
    <t>Tóth Árpád út aszfaltút</t>
  </si>
  <si>
    <t>Damjanich út aszfaltút</t>
  </si>
  <si>
    <t>647,717</t>
  </si>
  <si>
    <t>Táncsics M. út aszfaltút</t>
  </si>
  <si>
    <t>603,636</t>
  </si>
  <si>
    <t>Liliom út aszfaltút</t>
  </si>
  <si>
    <t>Hársfa út aszfaltút</t>
  </si>
  <si>
    <t>455</t>
  </si>
  <si>
    <t>Zöldfa út aszfaltút</t>
  </si>
  <si>
    <t>472</t>
  </si>
  <si>
    <t>Szegfű út aszfaltút</t>
  </si>
  <si>
    <t>489</t>
  </si>
  <si>
    <t>Tulipán út aszfaltút</t>
  </si>
  <si>
    <t>Krúdy Gy. út aszfaltút</t>
  </si>
  <si>
    <t>1412,709/34</t>
  </si>
  <si>
    <t>Széchenyi út aszfaltút</t>
  </si>
  <si>
    <t>Madách út aszfaltút</t>
  </si>
  <si>
    <t>Zrínyi út aszfaltút</t>
  </si>
  <si>
    <t>Juhász Gy. út aszfaltút</t>
  </si>
  <si>
    <t>Deák F. út aszfaltút</t>
  </si>
  <si>
    <t>Vasvári út aszfaltút</t>
  </si>
  <si>
    <t>Varga Katalin út aszfaltút</t>
  </si>
  <si>
    <t>592,625</t>
  </si>
  <si>
    <t>Bercsényi út aszfaltút</t>
  </si>
  <si>
    <t>Kőrizs út aszfaltút</t>
  </si>
  <si>
    <t>396</t>
  </si>
  <si>
    <t>Petőfi út aszfaltút</t>
  </si>
  <si>
    <t>Bem út aszfaltút</t>
  </si>
  <si>
    <t>183,269,1284</t>
  </si>
  <si>
    <t>678,790</t>
  </si>
  <si>
    <t>Városközpont közpark építés</t>
  </si>
  <si>
    <t>Kerékpárút aszfaltozás május 1 út</t>
  </si>
  <si>
    <t>Kőrizs út-Déryné út járda</t>
  </si>
  <si>
    <t>396,580/9</t>
  </si>
  <si>
    <t>Városközpont közpark</t>
  </si>
  <si>
    <t>Parképítés Vendégház körül</t>
  </si>
  <si>
    <t>Zsófia zártkert útalapépítés</t>
  </si>
  <si>
    <t>Hunyadi út járdajavítás</t>
  </si>
  <si>
    <t>Sportpálya járdajavítás</t>
  </si>
  <si>
    <t>Rákóczi út járda javítás</t>
  </si>
  <si>
    <t>1439</t>
  </si>
  <si>
    <t>Hunyadi út betonjárda építés</t>
  </si>
  <si>
    <t>Május 1 út járda aszfaltozás</t>
  </si>
  <si>
    <t>366</t>
  </si>
  <si>
    <t>Kérész út járda</t>
  </si>
  <si>
    <t>Sportpálya - buszöböl kialakítása</t>
  </si>
  <si>
    <t>Buszpályaudvar belső peron</t>
  </si>
  <si>
    <t>Piactérnél buszöböl</t>
  </si>
  <si>
    <t>Szolnoki út 16. sz. előtt járda</t>
  </si>
  <si>
    <t>Május 1 úti parkoló építés</t>
  </si>
  <si>
    <t>Ifjúság úti parkoló</t>
  </si>
  <si>
    <t>Zsófia zártkert közvilágítás</t>
  </si>
  <si>
    <t>Kossuth úti oviban járda</t>
  </si>
  <si>
    <t>Kerékpárút és járda Május 1.-Mártírok</t>
  </si>
  <si>
    <t>350/16</t>
  </si>
  <si>
    <t>Parkoló építés 2x5 állás</t>
  </si>
  <si>
    <t>Városháza alatti földterület</t>
  </si>
  <si>
    <t>Beépítetlen terület Trafóház</t>
  </si>
  <si>
    <t>Alaptevékenység erdő területei</t>
  </si>
  <si>
    <t>Erdő rekultivált területen</t>
  </si>
  <si>
    <t>Vasút melletti védőerdő Nógrádi</t>
  </si>
  <si>
    <t>333</t>
  </si>
  <si>
    <t>Vasút melletti védőerdő</t>
  </si>
  <si>
    <t>323/2</t>
  </si>
  <si>
    <t>323/1</t>
  </si>
  <si>
    <t>341</t>
  </si>
  <si>
    <t>Erdőterület Móricz Zs. út</t>
  </si>
  <si>
    <t>Forgalomképtelen vagyon összesen:</t>
  </si>
  <si>
    <t>D/ Üzemelt.-re átadott ingatlanok, gépek, berendezések</t>
  </si>
  <si>
    <t>Telek (korl.forg.képes)</t>
  </si>
  <si>
    <t>Gépek, berendezések, felszerelések</t>
  </si>
  <si>
    <t>Gépek, berendezések, felszerelések (korl.forg.képes)</t>
  </si>
  <si>
    <t>Üzemelt.-re átadott vagyon összesen:</t>
  </si>
  <si>
    <t>E/ Vagyonkez-be adott immateriális javak, ingatlanok, gépek, berendezések</t>
  </si>
  <si>
    <t>Immateriális javak (korl.forg.képes)</t>
  </si>
  <si>
    <t>Épületek, építmények ( forg.képes)</t>
  </si>
  <si>
    <t>Épületek, építmények (korl. forg.képes)</t>
  </si>
  <si>
    <t>Vagyonkez-be adott vagyon összesen:</t>
  </si>
  <si>
    <t>Önkormányzat összesen:</t>
  </si>
  <si>
    <t>Martfű Város Önkormányzata mindösszesen vagyona:</t>
  </si>
  <si>
    <t>ebből:</t>
  </si>
  <si>
    <t>A) Üzleti (forg.képes) vagyon összesen:</t>
  </si>
  <si>
    <t>B) Korlátozottan forgalomképes vagyon összesen:</t>
  </si>
  <si>
    <t>C) Forgalomképtelen vagyon összesen:</t>
  </si>
  <si>
    <t>Tartós részesedés (üzleti)</t>
  </si>
  <si>
    <t>Tartós részesedés korl.forg.képes</t>
  </si>
  <si>
    <t>Kiegészítő adatok:</t>
  </si>
  <si>
    <t>0-ra leíródott immateriális javak bruttó értéke</t>
  </si>
  <si>
    <t>0-ra leíródott ingatlanok bruttó értéke</t>
  </si>
  <si>
    <t>0-ra leíródott  gépek, ber., felsz. járművek bruttó értéke</t>
  </si>
  <si>
    <t>Intézmény</t>
  </si>
  <si>
    <t>Teljesít-mény (kWp)</t>
  </si>
  <si>
    <t>Az államháztartásról szóló 2011. évi CXCV. törvény 24. § (4) bekezdés d) pontja alapján</t>
  </si>
  <si>
    <t>a költségvetési évet követő három év tervezett előirányzatainak keretszámai</t>
  </si>
  <si>
    <t>Bevételi jogcímek</t>
  </si>
  <si>
    <t xml:space="preserve">Működési c. tám. ÁHT-n belülről (B1) </t>
  </si>
  <si>
    <t xml:space="preserve">Működési bevételek (B4) </t>
  </si>
  <si>
    <t>Tárgyévi költségvetési bevételek összesen (B1+…+B7)</t>
  </si>
  <si>
    <t>Kiadási jogcímek</t>
  </si>
  <si>
    <t>Tárgyévi költségvetési kiadások összesen (K1+…+K8)</t>
  </si>
  <si>
    <t>Martfű Város Önkormányzata saját bevételeinek részletezése az adósságot keletkeztető</t>
  </si>
  <si>
    <t>ügyletekből származó tárgyévi fizetési kötelezettség megállapításához</t>
  </si>
  <si>
    <t>Sor-szám</t>
  </si>
  <si>
    <t>Bevételi jogcimek</t>
  </si>
  <si>
    <t>Helyi adók</t>
  </si>
  <si>
    <t>Az önkormányzati vagyon és az önkormányzatot megillető vagyoni értékű jog értékesítéséből és hasznosításából származó bevétel</t>
  </si>
  <si>
    <t>Osztalék, koncesziós díj, hozambevétel</t>
  </si>
  <si>
    <t>Tárgyi eszköz és  immaterális jószág; részvény; részesedés; vállalat értékesítéséből, vagy privatizációból származó bevételek</t>
  </si>
  <si>
    <t>Bírság-, pótlék- és díjbevétel</t>
  </si>
  <si>
    <t>Kezességvállalással kapcsolatos megtérülés</t>
  </si>
  <si>
    <t>Saját bevételek összesen*:</t>
  </si>
  <si>
    <t>Saját bevételek 50 %-a összesen**:</t>
  </si>
  <si>
    <t>* Az adósságot keletkeztető ügyletekhez történő hozzájárulás részletes szabályairól szóló 353/2011. (XII.31.) Korm.Rendelet 2. § (1) bekezdése alapján</t>
  </si>
  <si>
    <t>**Az adósságot keletkeztető ügyletekhez történő hozzájárulás részletes szabályairól szóló 353/2011. (XII.31.) Korm.Rendelet 2. § (3) bekezdése alapján</t>
  </si>
  <si>
    <t xml:space="preserve">Martfű Város Önkormányzata adósságot keletkeztető ügyletekből és kezességvállalásokból </t>
  </si>
  <si>
    <t>fennálló kötelezettségei</t>
  </si>
  <si>
    <t>Hitelállomány</t>
  </si>
  <si>
    <t>Összes kötelezettség:</t>
  </si>
  <si>
    <t xml:space="preserve">Összes intézmény           </t>
  </si>
  <si>
    <t xml:space="preserve">Beavatkozás módja                       </t>
  </si>
  <si>
    <t xml:space="preserve">Óvoda  Kossuth u. 22.   2011.04-től   </t>
  </si>
  <si>
    <r>
      <t xml:space="preserve">A villamosenergia-felhasználás folyamatának optimalizálása:                 </t>
    </r>
    <r>
      <rPr>
        <b/>
        <i/>
        <sz val="12"/>
        <rFont val="Times New Roman"/>
        <family val="1"/>
        <charset val="238"/>
      </rPr>
      <t xml:space="preserve">napelemes háztartási méretű kiserőmű  </t>
    </r>
    <r>
      <rPr>
        <sz val="10"/>
        <rFont val="Times New Roman"/>
        <family val="1"/>
        <charset val="238"/>
      </rPr>
      <t xml:space="preserve"> (HMKE) létesítésével, a helyileg megtermelt villamos energia közvetlen, saját célú felhasználásával a közcélú hálózatból vételezett villamos energia mennyiségének csökkentése                                     </t>
    </r>
  </si>
  <si>
    <t xml:space="preserve">Polgármesteri Hivatal         2011.04 és 2019.06-tól  </t>
  </si>
  <si>
    <t xml:space="preserve">Összes intézmény </t>
  </si>
  <si>
    <t>Kerékpárút Martfű-Szolnok</t>
  </si>
  <si>
    <t>09/32</t>
  </si>
  <si>
    <t>022/46</t>
  </si>
  <si>
    <t>09/34</t>
  </si>
  <si>
    <t>346/1</t>
  </si>
  <si>
    <t>343/13</t>
  </si>
  <si>
    <t xml:space="preserve"> </t>
  </si>
  <si>
    <t>BH-II,BH-I,BH-III,Garzon Kft-től megvás.</t>
  </si>
  <si>
    <t>100/00036,39,47</t>
  </si>
  <si>
    <t>Gyalogátkelőhely prizmás je</t>
  </si>
  <si>
    <t>Műv.kp parkjának felújítása</t>
  </si>
  <si>
    <t>Prizma telepítés Szolnoki út</t>
  </si>
  <si>
    <t>346/2</t>
  </si>
  <si>
    <t>Bölcsőde (új) belső járda</t>
  </si>
  <si>
    <t>Óvoda ingatlan</t>
  </si>
  <si>
    <t>Tiszazugi Önkorm. Társulása támogatása</t>
  </si>
  <si>
    <t>Szolnoki Kistérség Töbcélú Társulása támogatása</t>
  </si>
  <si>
    <t>Római Katolikus Plébánia Tf. Támogatása</t>
  </si>
  <si>
    <t>Martfűi Református Egyházközösség támogatása</t>
  </si>
  <si>
    <t>Foglalkoztatottak elismerése</t>
  </si>
  <si>
    <t xml:space="preserve">Belterületi ingatlan </t>
  </si>
  <si>
    <t>1670/35</t>
  </si>
  <si>
    <t>1670/32</t>
  </si>
  <si>
    <t>1670/34</t>
  </si>
  <si>
    <t>1670/33</t>
  </si>
  <si>
    <t>1670/31</t>
  </si>
  <si>
    <t>1670/30</t>
  </si>
  <si>
    <t>1670/029</t>
  </si>
  <si>
    <t>1670/28</t>
  </si>
  <si>
    <t>1670/26</t>
  </si>
  <si>
    <t>1670/24</t>
  </si>
  <si>
    <t>1670/19</t>
  </si>
  <si>
    <t>1670/18</t>
  </si>
  <si>
    <t>1670/15</t>
  </si>
  <si>
    <t>1670/14</t>
  </si>
  <si>
    <t>1670/13</t>
  </si>
  <si>
    <t>1670/10</t>
  </si>
  <si>
    <t>1670/9</t>
  </si>
  <si>
    <t>1670/8</t>
  </si>
  <si>
    <t>1670/7</t>
  </si>
  <si>
    <t>1670/6</t>
  </si>
  <si>
    <t>Alaptevékenység egyéb épületei</t>
  </si>
  <si>
    <t>Lakás Május 1. út 8 II/17</t>
  </si>
  <si>
    <t>834/13/A/17</t>
  </si>
  <si>
    <t>Lakás Munkácsy út 83. II./9.</t>
  </si>
  <si>
    <t>349/29</t>
  </si>
  <si>
    <t>Lakás Munkácsy út 85 fszt. 3.</t>
  </si>
  <si>
    <t>Lakás Munkácsy út 87. II./10</t>
  </si>
  <si>
    <t>Lakás Munkácsy út 87 1.7</t>
  </si>
  <si>
    <t>Lakás Munkácsy út 87. 1/6</t>
  </si>
  <si>
    <t>Lakás Szolnoki út 108. III./10.</t>
  </si>
  <si>
    <t>823/10</t>
  </si>
  <si>
    <t>Lakás Szolnoki út 108. III./9.</t>
  </si>
  <si>
    <t>Lakás Szolnoki út 110. fszt. 1.</t>
  </si>
  <si>
    <t>Lakás Szolnok út 110. 1/3.</t>
  </si>
  <si>
    <t>Lakás Szolnoki út 110. III./19.</t>
  </si>
  <si>
    <t>Lakóház udvar, gazdasági épület</t>
  </si>
  <si>
    <t>178//</t>
  </si>
  <si>
    <t>810/7</t>
  </si>
  <si>
    <t>Lakás Gesztenye sor 3.</t>
  </si>
  <si>
    <t>Lakás Május 1. út 20. fszt. 4</t>
  </si>
  <si>
    <t>834/16/A/4</t>
  </si>
  <si>
    <t>Lakás Május 1 út 16. fszt 3.</t>
  </si>
  <si>
    <t>834/15A/3</t>
  </si>
  <si>
    <t>Lakás Május 1 út 12. fszt 1.</t>
  </si>
  <si>
    <t>834/14/A1</t>
  </si>
  <si>
    <t>Lakás Szolnoki út 59. II/7.</t>
  </si>
  <si>
    <t>370/9</t>
  </si>
  <si>
    <t>Lakás Szolnoki út 90. II/7</t>
  </si>
  <si>
    <t>823/23</t>
  </si>
  <si>
    <t>Lakás Szolnoki út 90. fszt 1.</t>
  </si>
  <si>
    <t>Lakás Szolnoki út 90. IV/12</t>
  </si>
  <si>
    <t>Lakás Szolnoki út 92. fszt 1.</t>
  </si>
  <si>
    <t>823/24</t>
  </si>
  <si>
    <t>Lakás Szolnoki út 94. II/7</t>
  </si>
  <si>
    <t>823/25/A7</t>
  </si>
  <si>
    <t>806/13</t>
  </si>
  <si>
    <t>Lakás Simon F. út 6. fszt 1</t>
  </si>
  <si>
    <t>798/2</t>
  </si>
  <si>
    <t>Lakás Iskola út 3.</t>
  </si>
  <si>
    <t>834/19</t>
  </si>
  <si>
    <t>Lakás Május 1. út 8. II/14</t>
  </si>
  <si>
    <t>834/13/A/14</t>
  </si>
  <si>
    <t>Lakás Május 1. út 8. I/6.</t>
  </si>
  <si>
    <t>834/13/A/6</t>
  </si>
  <si>
    <t>05/18//</t>
  </si>
  <si>
    <t>összesen</t>
  </si>
  <si>
    <t>Egyéb célú telkek</t>
  </si>
  <si>
    <t>Telek vendéglakásnál</t>
  </si>
  <si>
    <t>Telek bérlők háza III.nál</t>
  </si>
  <si>
    <t>810/8</t>
  </si>
  <si>
    <t>Telek új garzonnál</t>
  </si>
  <si>
    <t>815/3</t>
  </si>
  <si>
    <t>Telek régi garzonnál</t>
  </si>
  <si>
    <t>815/1</t>
  </si>
  <si>
    <t>Telek bérlők háza II-nél</t>
  </si>
  <si>
    <t>810/6</t>
  </si>
  <si>
    <t>Telek bérlők háza I</t>
  </si>
  <si>
    <t>Műfüves pálya - sportpálya</t>
  </si>
  <si>
    <t>Bérlők háza I. Hősök tere 10.</t>
  </si>
  <si>
    <t>Városfejlesztési Kft. Irodái</t>
  </si>
  <si>
    <t>Bérlők háza III. (Ffi sz.)</t>
  </si>
  <si>
    <t>Garzon (új)</t>
  </si>
  <si>
    <t>Garzonház</t>
  </si>
  <si>
    <t>Vendéglakás II.</t>
  </si>
  <si>
    <t>Mobilgarázs óvoda</t>
  </si>
  <si>
    <t>Mobilgarázs bölcsőde</t>
  </si>
  <si>
    <t>Munkácsy óvoda előtető</t>
  </si>
  <si>
    <t>Munkácsy úti óvoda térkőjárda</t>
  </si>
  <si>
    <t>Mozgáskorlátozott feljáró (Máltai Sz.SZ)</t>
  </si>
  <si>
    <t>Hulladéksziget (Május 1. út)</t>
  </si>
  <si>
    <t>Rendőrségi parkoló (Május 1. út)</t>
  </si>
  <si>
    <t>Munkácsy úti óvoda készségfejlesztő akadálypálya</t>
  </si>
  <si>
    <t>Csúszdatorony bölcsőde</t>
  </si>
  <si>
    <t>Bölcsőde volt óvoda épülete</t>
  </si>
  <si>
    <t>Energetikai korsz.OrvosiR.KEOP-4.2.0</t>
  </si>
  <si>
    <t>Energetikai korsz.Damjanich.KEOP-4.2.0</t>
  </si>
  <si>
    <t xml:space="preserve">Ravatalozó   </t>
  </si>
  <si>
    <t>Korona étterem- kivett étterem ésudvar</t>
  </si>
  <si>
    <t>344//</t>
  </si>
  <si>
    <t>Gazdasági buszváró felújítása 6db városban</t>
  </si>
  <si>
    <t>Kertes ABC melletti út, parkoló Kossuth út</t>
  </si>
  <si>
    <t>Iparipark kiépítetlen út</t>
  </si>
  <si>
    <t>Nógrádi-deák út gázcsatlakozás kiépítése</t>
  </si>
  <si>
    <t>Buszmegálló</t>
  </si>
  <si>
    <t>Hunyadi úti játszótér áteresz</t>
  </si>
  <si>
    <t>Csapadékvíz átemelő Zrínyi út</t>
  </si>
  <si>
    <t>Hunyadi úti nyílt belvízelvezető csatorna</t>
  </si>
  <si>
    <t>Tisza ipartelep kerítés</t>
  </si>
  <si>
    <t>Közvilágítás korszerűsítés Szolnoki út</t>
  </si>
  <si>
    <t>Béke út útburkolat,parkolók</t>
  </si>
  <si>
    <t>Kerékpárút kivitelezési terv áll.</t>
  </si>
  <si>
    <t>Hőszigetelés Damjanich</t>
  </si>
  <si>
    <t>Hőszigetelés Orvosi rendelő</t>
  </si>
  <si>
    <t>járművek</t>
  </si>
  <si>
    <t>Galagonya út. aszfaltút</t>
  </si>
  <si>
    <t>Galagonya. út járda</t>
  </si>
  <si>
    <t>Levendula. út járda</t>
  </si>
  <si>
    <t>Galagonya út aszfaltút</t>
  </si>
  <si>
    <t>Levendula út aszfaltút</t>
  </si>
  <si>
    <t>Vitézdűlő martszfalt</t>
  </si>
  <si>
    <t>Zsófia martaszfalt építése</t>
  </si>
  <si>
    <t>Járda buszpályánál</t>
  </si>
  <si>
    <t>Aszfaltút buszpályánál</t>
  </si>
  <si>
    <t>Buszpályaudvar út és járda felújítás</t>
  </si>
  <si>
    <t>Járda régi temetőben</t>
  </si>
  <si>
    <t>Forgalomképtelen egyéb telek</t>
  </si>
  <si>
    <t>Garázstelek 14 db</t>
  </si>
  <si>
    <t>Nyilvántatrási érték (Ft)</t>
  </si>
  <si>
    <t>Bölcsőde                  Május 1 út 19.    2019.03-tól</t>
  </si>
  <si>
    <t xml:space="preserve">Városi Művelőd.Közp.           2011.04 és 2017.12.04 -től </t>
  </si>
  <si>
    <t>Levendula út járda</t>
  </si>
  <si>
    <t>Tervezett létszáváltozás</t>
  </si>
  <si>
    <t>1670/71</t>
  </si>
  <si>
    <t>1670/73</t>
  </si>
  <si>
    <t>1670/75</t>
  </si>
  <si>
    <t>1670/77</t>
  </si>
  <si>
    <t>1670/87</t>
  </si>
  <si>
    <t>1670/92</t>
  </si>
  <si>
    <t>1670/95</t>
  </si>
  <si>
    <t>Ófalu 2. vízvezeték átvezetés</t>
  </si>
  <si>
    <t>-felhalmozási célú céltartalék</t>
  </si>
  <si>
    <t>Karácsonyi díszkivilágítás bővítése</t>
  </si>
  <si>
    <t>Lakáságazat egyéb felújítások</t>
  </si>
  <si>
    <t>Ingatlan korszerűsítési támogatás</t>
  </si>
  <si>
    <t>2024. év</t>
  </si>
  <si>
    <t>Szociális hozzájárulási adó (17,5%,15,5%)</t>
  </si>
  <si>
    <t>Béren kívüli juttatások-Cafetéria 24 fő (K1107)</t>
  </si>
  <si>
    <t>Környezetkímélő kocsi</t>
  </si>
  <si>
    <t>Munkácsy úti óvoda betonjárda elkészítése</t>
  </si>
  <si>
    <t>Martos Flóra út és óvoda melletti járda felújítása</t>
  </si>
  <si>
    <t>Coop mögötti területen kerítés készítés</t>
  </si>
  <si>
    <t>Coop áruház előtti kerékpártároló</t>
  </si>
  <si>
    <t>Munkácsy úti óvoda fedett kerékpártároló</t>
  </si>
  <si>
    <t>Hunyadi János utca közvilágítási hálózat bővítése</t>
  </si>
  <si>
    <t>Sportpark kialakítása/kültéri/</t>
  </si>
  <si>
    <t>Köztemető kerítés</t>
  </si>
  <si>
    <t>Munkácsy úti óvoda udvar aszfaltozása</t>
  </si>
  <si>
    <t>Sportpálya,Sportpark</t>
  </si>
  <si>
    <t>Közétkeztetés fejlesztés</t>
  </si>
  <si>
    <t>Új temető belső útépítés</t>
  </si>
  <si>
    <t>Köztemető útépítés</t>
  </si>
  <si>
    <t>Összesen :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</si>
  <si>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 szerződés </t>
    </r>
    <r>
      <rPr>
        <sz val="10"/>
        <rFont val="Times New Roman"/>
        <family val="1"/>
        <charset val="238"/>
      </rPr>
      <t xml:space="preserve">keretein belül </t>
    </r>
    <r>
      <rPr>
        <b/>
        <i/>
        <sz val="10"/>
        <rFont val="Times New Roman"/>
        <family val="1"/>
        <charset val="238"/>
      </rPr>
      <t>beszerzési eljárás</t>
    </r>
    <r>
      <rPr>
        <sz val="10"/>
        <rFont val="Times New Roman"/>
        <family val="1"/>
        <charset val="238"/>
      </rPr>
      <t xml:space="preserve"> lefolytatását követően </t>
    </r>
  </si>
  <si>
    <t>Martfű külterület ingatlan</t>
  </si>
  <si>
    <t>Martfű Külterület</t>
  </si>
  <si>
    <t>0118/8</t>
  </si>
  <si>
    <t>0118/18</t>
  </si>
  <si>
    <t>Zöldhulladék tároló kerítés</t>
  </si>
  <si>
    <t>090/2</t>
  </si>
  <si>
    <t>Zöldhulladék lerakó kialakítása</t>
  </si>
  <si>
    <t>Coop parkoló építése</t>
  </si>
  <si>
    <t>Temető út parkoló 36 db</t>
  </si>
  <si>
    <t>Kis Szolnoki út járda építés</t>
  </si>
  <si>
    <t>Hangszerek</t>
  </si>
  <si>
    <t>Térfigyelő kamerarendszer bővítés</t>
  </si>
  <si>
    <t>2021.01. havi állami támog.megelől.visszafiz.</t>
  </si>
  <si>
    <t>2025. év</t>
  </si>
  <si>
    <t>1.1. Települési önkormányzatok működésének általános  támogatása</t>
  </si>
  <si>
    <t xml:space="preserve">1.1.1.1. Önkormányzati hivatal működésének támogatása </t>
  </si>
  <si>
    <t xml:space="preserve">      12 havi összeg elismert hivatali létszám alapján</t>
  </si>
  <si>
    <t>1.1.1.2. Zöldterület-gazd. kapcs.feladat ellátás támogatása</t>
  </si>
  <si>
    <t>1.1.1.4. Köztemető fenntartásával kapcsolatos feladatok támogatása</t>
  </si>
  <si>
    <t>1.1.1.5. Közutak fenntartás támogatása</t>
  </si>
  <si>
    <t>1.1.1.6. Egyéb önkormányzati feladatok támogatása</t>
  </si>
  <si>
    <t>1.1.1.7. Lakott külterülettel kapcsolatos feladatok támogatása</t>
  </si>
  <si>
    <t>Általános feladatok, támogatások összesen 12 havi</t>
  </si>
  <si>
    <t>1.1.Települési önkormányzatok működésének  általános támogatása összesen:</t>
  </si>
  <si>
    <t>1.2.A települési önkormányzatok egyes köznevelési feladatainak támogatása</t>
  </si>
  <si>
    <t>1.2.1. Óvodaműködési támogatás</t>
  </si>
  <si>
    <t>1.2.1.1. Óvodaműködési támogatás-óvoda napi nyitvatartási ideje eléri a nyolc órát</t>
  </si>
  <si>
    <t>1.2.2. Óvodában foglalkoztatott pedagógusok átlagbér alapú támogatása</t>
  </si>
  <si>
    <t>1.2.2.1. Pedagógusok átlagbér alapú támogatása</t>
  </si>
  <si>
    <t>1.2.3.1.1.1.1. Pedagógus II.kat.sorolt ped.,ped.szakképz.rendelk.segítők kiegészítő tám.</t>
  </si>
  <si>
    <t>1.2.3.1.1.1.2. Mesterpedagógus kat.sorolt ped.kiegészítő tám.</t>
  </si>
  <si>
    <t>1.2.5. Óvodában foglalkoztatott pedagógusok nevelőmunkáját segítők átlagbér alapú támogatása</t>
  </si>
  <si>
    <t>1.2.5.1.1. Ped.szakképzettséggel nem rendelkező segítők átlagbér alapú támogatása</t>
  </si>
  <si>
    <t>1.2. A települési önkorm.egyes köznevelési feladatainak tám.összesen:</t>
  </si>
  <si>
    <t>1.3. A települési önkormányzatok egyes szociális és gyermekjóléti feladatainak támogatása</t>
  </si>
  <si>
    <t>1.3.2. Egyes szociális és gyermekjóléti feladatok támogatása</t>
  </si>
  <si>
    <t>1.3.2.1. Család-és gyermekjóléti szolgálat</t>
  </si>
  <si>
    <t>1.3.2.3.1. Szociális étkeztetés</t>
  </si>
  <si>
    <t>1.3.2.4.1. Szociális segítségnyújtás</t>
  </si>
  <si>
    <t>1.3.2.6.1.Falugondnoki, vagy tanyagondnoki szolgáltatás</t>
  </si>
  <si>
    <t>1.3.2.6.1.Időskorúak nappali intézményi ellátása</t>
  </si>
  <si>
    <t>1.3.2. Egyes szociális és gyermekjóléti feladatok támogatása összesen:</t>
  </si>
  <si>
    <t>1.3.3. Bölcsőde, mini bölcsőde támogatása</t>
  </si>
  <si>
    <t>1.3.3.1.1. Felsőfokú végzettségű kisgyermeknevelők szaktanácsadók bértámogatása</t>
  </si>
  <si>
    <t>1.3.3.1.2. Bölcsődei dajkák,középfokú végzettségű kisgyermeknevelők bértámogatása</t>
  </si>
  <si>
    <t>1.3.3.2.Bölcsődei üzemeltetési támogatás</t>
  </si>
  <si>
    <t>1.3.3. Bölcsőde, mini bölcsőde támogatása összesen:</t>
  </si>
  <si>
    <t>1.3. A települési önkormányzatok egyes szociális és gyermekjóléti feladatainak támogatása összesen:</t>
  </si>
  <si>
    <t>1.4. A települési önkormányzatok gyermekétkeztetési feladatainak támogatása</t>
  </si>
  <si>
    <t>1.4.1.1. Intézményi gyermekétkeztetés bértámogatása</t>
  </si>
  <si>
    <t>1.4.1.2. Intézményi gyermekétkeztetés  üzemeltetési támogatása</t>
  </si>
  <si>
    <t>1.4.2. Szünidei étkeztetés támogatása</t>
  </si>
  <si>
    <t>1.4. A települési önkormányzatok gyermekétkeztetési feladatainak támogatása összesen:</t>
  </si>
  <si>
    <t>1.5. A települési önkormányzatok kulturális feladatainak támogatása</t>
  </si>
  <si>
    <t>1.5.2. Települési önk.nyilvános könyvtári és közműv.feladatok támogatása</t>
  </si>
  <si>
    <t>1.5. A települési önkormányzatok kulturális feladatainak támogatása összesen:</t>
  </si>
  <si>
    <t>Mutatószám felméréshez tartozó állami támogatás:</t>
  </si>
  <si>
    <t>Működési célú költségvetési és kiegészítő támogatás</t>
  </si>
  <si>
    <t>Működési célú költségvetési és kiegészítő támogatás összesen:</t>
  </si>
  <si>
    <t>Támogatások összesen:</t>
  </si>
  <si>
    <t>Elvonások és befizetések bevételei</t>
  </si>
  <si>
    <t>Egyéb működési célú támogatások ÁHT-n belülről</t>
  </si>
  <si>
    <t>Nemzeti Foglalkoztatási Alapból-közfoglalkoztatási támogatás</t>
  </si>
  <si>
    <t>Egyéb működési célú támogatások ÁHT-n belülről összesen:</t>
  </si>
  <si>
    <t>1. Működési c. tám. ÁHT-n belülről (B1) összesen :</t>
  </si>
  <si>
    <t>2. Felhalmozási célú támogatás ÁHT-on belülről (B2)</t>
  </si>
  <si>
    <t>2. Felhalmozási célú támogatás ÁHT-on belülről (B2) összesen:</t>
  </si>
  <si>
    <t xml:space="preserve">Építményadó                                                                              </t>
  </si>
  <si>
    <t xml:space="preserve">Helyi iparűzési adó                                                                              </t>
  </si>
  <si>
    <t xml:space="preserve">Idegenforgalmi adó                                                                              </t>
  </si>
  <si>
    <t>Környezetvédelmi bírság</t>
  </si>
  <si>
    <t xml:space="preserve">Pótlék, bírság                                                                             </t>
  </si>
  <si>
    <t xml:space="preserve">Működési célú átvett pénzeszköz lakosságtól </t>
  </si>
  <si>
    <t>Munkáltatói támogatás, lakáshoz jutó támog., energetikai támog.visszafizetése</t>
  </si>
  <si>
    <t>Felhalmozási célú átvett pénzeszköz vállalkozástól</t>
  </si>
  <si>
    <r>
      <t>Óvoda  Munkácsy 79. 2011.04 és 2019.09-től</t>
    </r>
    <r>
      <rPr>
        <sz val="16"/>
        <rFont val="Times New Roman"/>
        <family val="1"/>
        <charset val="238"/>
      </rPr>
      <t xml:space="preserve"> </t>
    </r>
  </si>
  <si>
    <t xml:space="preserve">Sportcsarnok 2015.08-tól és 2021.11-től további 15 kW </t>
  </si>
  <si>
    <t>Garzon 2021.10-től</t>
  </si>
  <si>
    <t>Település rendezési terv készítés</t>
  </si>
  <si>
    <t>Járdaépítés</t>
  </si>
  <si>
    <t>Rendőrségi energetikai hálózat felújítása</t>
  </si>
  <si>
    <t>2026. év</t>
  </si>
  <si>
    <t>Szociális hozzájárulási adó (13%)</t>
  </si>
  <si>
    <t>Műk.célú visszatérítendő tám.,kölcsönök nyújtása ÁHT-n kívülre (K508)</t>
  </si>
  <si>
    <t>Működési célú átvett pénzeszköz egyéb civil vagy nonprofit szervezettől</t>
  </si>
  <si>
    <t>Hunyadi J.út-Zsófia halom közötti összekötő útburkolat</t>
  </si>
  <si>
    <t>Ipari Park-út építés</t>
  </si>
  <si>
    <t>Szent István tér park</t>
  </si>
  <si>
    <t>Martfű-Cibakháza kerékpárút építés áll.</t>
  </si>
  <si>
    <t>Kossuth út,Móricz Zs. Út gyalogjárda</t>
  </si>
  <si>
    <t>Hőszigetelés Műv.Közp.</t>
  </si>
  <si>
    <t>Kossuth út 22-24.TOP-3.3.1-21 Energetikai pályázat Óvoda</t>
  </si>
  <si>
    <t>KEOP-2012-4.10.0/A Hő és villamosenergia</t>
  </si>
  <si>
    <t>Épületenergetika KEOP-5.5.0.</t>
  </si>
  <si>
    <t>Befejezetlen vásárolt egyéb építmények felújításának áll.</t>
  </si>
  <si>
    <t>Óváros csapadékvíz elvezetés rekonstrukció TOP-2.1.3-16</t>
  </si>
  <si>
    <t>Belterületi ingatlanok</t>
  </si>
  <si>
    <t>1659/9</t>
  </si>
  <si>
    <t>1659/8</t>
  </si>
  <si>
    <t>1659/3</t>
  </si>
  <si>
    <t>Martfű belterületi ingatlan</t>
  </si>
  <si>
    <t>Külterületi szántó</t>
  </si>
  <si>
    <t>Külterületi ingatlan szántó erdő</t>
  </si>
  <si>
    <t>Ipari park földterülete(Kövérmajor)</t>
  </si>
  <si>
    <t>Martfű Hunyadi út járda építés</t>
  </si>
  <si>
    <t>2025. évi előirányzat</t>
  </si>
  <si>
    <t>2027. év</t>
  </si>
  <si>
    <t>Villamosenergia szolgáltatás díja (K3311)</t>
  </si>
  <si>
    <t>Gázenergia szolgáltatás díja (K3312)</t>
  </si>
  <si>
    <t>Víz- és csatorna szolgáltatás díja (K3314)</t>
  </si>
  <si>
    <t>Távhő-és melegvíz szolgáltatás díja (K3313)</t>
  </si>
  <si>
    <t>1.1.5. Közvilágítás kiegészítő támogatása</t>
  </si>
  <si>
    <t>1.2.1.3. Óvodaműködési támogatás-üzemeletési támogatás</t>
  </si>
  <si>
    <t xml:space="preserve">Martfű Város Önkormányzata tulajdonában álló gazdálkodó szervezet, és a  működéséből származó kötelezettség, részesedés </t>
  </si>
  <si>
    <t xml:space="preserve"> Az önkormányzata tulajdonában álló  gazdálkodó szervezet</t>
  </si>
  <si>
    <t>részesedés összege</t>
  </si>
  <si>
    <t>működési kötelezettségek</t>
  </si>
  <si>
    <t>Bács-Víz Zrt,</t>
  </si>
  <si>
    <t>Tisza Cipő Zrt</t>
  </si>
  <si>
    <t>TOP-Plusz-1.2.3-21-JN1-2022-00041 Martfű Város belterületi útjainak fejlesztése</t>
  </si>
  <si>
    <t>TOP-Plusz-1.1.1-21-JN1-2022-00015 Martfű Város iparterületeinek és helyi piacának fejlesztése</t>
  </si>
  <si>
    <t>TOP-Plusz-3.3.2-21-JN1-2022-00017 Mentőállomás fejlesztése I.ütem</t>
  </si>
  <si>
    <t>TOP-Plusz-1.2.1-21-JN1-2022-00026 Martfű Város komplex élhető városfejlesztés</t>
  </si>
  <si>
    <t>TOP-Plusz-3.3.1-21-JN1-2022-00001 A martfűi Kossuth úti tagóvoda infrastrukturális fejlesztése</t>
  </si>
  <si>
    <t>TOP-Plusz-2.1.1-21-JN1-2022-00001 Nyugdíjas Klub épületének közel nulla energiaigényű korszerűsítése Martfűn</t>
  </si>
  <si>
    <t>Gyermek étkeztetés térítési díj</t>
  </si>
  <si>
    <t>méltányossági alapon elengedése</t>
  </si>
  <si>
    <t>Felnőtt étkeztetési térítési díj</t>
  </si>
  <si>
    <t>Nemzetgazdasági szempontból kiemelt jelentőségű törzsvagyon</t>
  </si>
  <si>
    <t>Forgalomképtelen gépek, berend.és felszerelések, járművek</t>
  </si>
  <si>
    <t>II/3</t>
  </si>
  <si>
    <t>Üzleti(forg.k.) Tenyészállatok</t>
  </si>
  <si>
    <t>Korlátozottan forgalomképes Tenyészállatok</t>
  </si>
  <si>
    <t>Forgalomképtelen Tenyészállatok</t>
  </si>
  <si>
    <t>Üzleti(forg.k.) beruházások</t>
  </si>
  <si>
    <t>Forgalomképtelen beruházások</t>
  </si>
  <si>
    <t>II/5</t>
  </si>
  <si>
    <t>Üzleti (forg.k.)Tárgyi eszközök értékhelyesbítése</t>
  </si>
  <si>
    <t>Korlátozottan forgalomképes Tárgyi eszközök értékhelyesbítése</t>
  </si>
  <si>
    <t>Forgalomképtelen Tárgyi eszközök értékhelyesbítése</t>
  </si>
  <si>
    <t>Forgalomképtelen Tartós részesedés</t>
  </si>
  <si>
    <t>III/2</t>
  </si>
  <si>
    <t>Üzleti(forg.k.) Tartós hitelviszonyt megtestesítő értékpapír</t>
  </si>
  <si>
    <t>Korlátozottan forg.Tartós hitelviszonyt megtestesítő értékpapír</t>
  </si>
  <si>
    <t>Forgalomképtelen Tartós hitelviszonyt megtestesítő értékpapír</t>
  </si>
  <si>
    <t>III/3</t>
  </si>
  <si>
    <t>Üzleti (forg.k.) Befektetett pénzügyi eszközök értékhelyesbítése</t>
  </si>
  <si>
    <t>Korlátozottan forg.képes Befektetett pénzügyi eszközök értékhelyesbítése</t>
  </si>
  <si>
    <t>Forgalomképtelen Befektetett pénzügyi eszközök értékhelyesbítése</t>
  </si>
  <si>
    <t>Lekötött bankbetétek</t>
  </si>
  <si>
    <t>Pénztárak,csekkek,betétkönyvek</t>
  </si>
  <si>
    <t>Forintszámlák</t>
  </si>
  <si>
    <t>Devizaszámlák</t>
  </si>
  <si>
    <t>Teljesen (0-ig) vagy maradványértékig leírt, korlátozottan forgalomképes kisértékű vagyoni értékű jogok</t>
  </si>
  <si>
    <t>Teljesen (0-ig) vagy maradványértékig leírt korlátozottan forgalomképes kisértékű különféle egyéb építmény</t>
  </si>
  <si>
    <t>Teljesen (0-ig) vagy maradványértékig leírt korlátozottan forgalomképes kisértékű informatikai eszköz</t>
  </si>
  <si>
    <t>Teljesen (0-ig) vagy maradványértékig leírt korlátozottan forgalomképes kisértékű egyéb gép, berendezés és felszerelés</t>
  </si>
  <si>
    <t>Teljesen (0-ig) vagy maradványértékig leírt üzleti (forgalomképes) egyéb kisértékű gép, berendezés és felszerelés</t>
  </si>
  <si>
    <t xml:space="preserve">Teljesen (0-ig) vagy maradványértékig leírt üzemeltetésre kezelésbe adott korlátozott forgalomképes kisértékű egyéb gép berendezés </t>
  </si>
  <si>
    <t>Önkormányzat  kiegészítő adatok:</t>
  </si>
  <si>
    <t>Teljesen (0-ig) vagy maradványértékig leírt Áht-n belüli vagyonkezelésbe adott korlátozottan forgalomképes különféle egyéb építmények</t>
  </si>
  <si>
    <t>Teljesen (0-ig) vagy maradványértékig leírt Áht-n belüli vagyonkezelésbe adott korlátozottan forgalomképes informatikai eszközök</t>
  </si>
  <si>
    <t xml:space="preserve">Teljesen (0-ig) vagy maradványértékig leírt Áht-n belüli vagyonkezelésbe adott korlátozottan forgalomképes egyéb gép berendezés </t>
  </si>
  <si>
    <t>Teljesen (0-ig) vagy maradványértékig leírt korlátozottan forgalomképes vagyoni értékű jogok</t>
  </si>
  <si>
    <t xml:space="preserve">Teljesen (0-ig) vagy maradványértékig leírt korlátozottan forgalomképes szellemi termékek </t>
  </si>
  <si>
    <t>Teljesen (0-ig) vagy maradványértékig leírt korlátozottan fogalomképes egyéb épületek</t>
  </si>
  <si>
    <t>Teljesen (0-ig) vagy maradványértékig leírt korlátozottan forgalomképes különféle egyéb építmények</t>
  </si>
  <si>
    <t>Teljesen (0-ig) vagy maradványértékig leírt korlátozottan forgalomképes informatikai eszközök</t>
  </si>
  <si>
    <t>Teljesen (0-ig) vagy maradványértékig leírt korlátozottan forgalomképes egyéb gép, berendezés és felszerelés</t>
  </si>
  <si>
    <t>Teljesen (0-ig) vagy maradványértékig leírt üzleti (forgalomképes) egyéb gép, berendezés és felszerelés</t>
  </si>
  <si>
    <t>Teljesen (0-ig) vagy maradványértékig leírt korlátozottan forgalomképes járművek</t>
  </si>
  <si>
    <t>Teljesen (0-ig) vagy maradványértékig leírt üzleti (forgalomképes) járművek</t>
  </si>
  <si>
    <t>Teljesen (0-ig) vagy maradványértékig leírt üzemeltetésre, kezelésbe adott korlátozottan forgalomképes egyéb gép, berendezés és felsz</t>
  </si>
  <si>
    <t>Kulturális javak és régészeti leletek</t>
  </si>
  <si>
    <t>Városi Művelődési Központ és Könyvtár  kiegészítő adatok:</t>
  </si>
  <si>
    <t>Korlátozottan forgalomképes kisértékű kulturális javak</t>
  </si>
  <si>
    <t>Teljesen (0-ig) vagy maradványértékig leírt korlátozottan forgalomképes kisértékű kulturális javak</t>
  </si>
  <si>
    <t>Korlátozottan forgalomképes kisértékű informatikai eszközök</t>
  </si>
  <si>
    <t>Korlátozottan forgalomképes kisértékű egyéb gép, berendezés és felszerelés</t>
  </si>
  <si>
    <t xml:space="preserve">Korlátozottan forgalomképes kisértékű hangszerek </t>
  </si>
  <si>
    <t>Teljesen (0-ig) vagy maradványértékig leírt korlátozottan forgalomképes kisértékű informatikai eszközök</t>
  </si>
  <si>
    <t>Teljesen (0-ig) vagy maradványértékig leírt korlátozottan forgalomképes kisértékű egyéb gép, berendezés és felsz.</t>
  </si>
  <si>
    <t>Teljesen (0-ig) vagy maradványértékig leírt korlátozottan forgalomképes kisértékű hangszerek</t>
  </si>
  <si>
    <t>Teljesen (0-ig) vagy maradványértékig leírt, korlátozottan forgalomképes vagyoni értékű jogok</t>
  </si>
  <si>
    <t>Teljesen (0-ig) vagy maradványértékig leírt, korlátozottan forgalomképes szellemi termékek</t>
  </si>
  <si>
    <t xml:space="preserve">A 01-02. számlacsoportban nyilvántartott eszközök </t>
  </si>
  <si>
    <t xml:space="preserve">Korlátozottan forgalomképes kisértékű informatikai eszközök </t>
  </si>
  <si>
    <t>Teljesen (0-ig) vagy maradványértékig leírt korlátozottan forgalomképes kisértékű járművek</t>
  </si>
  <si>
    <t>Teljesen (0-ig) vagy maradványértékig leírt korlátozottan forgalomképes egyéb gép berendezés és felszerelés</t>
  </si>
  <si>
    <t>A 01-02. számlacsoportban nyilvántortott eszközök</t>
  </si>
  <si>
    <t>Játékvár Óvoda és Bölcsőde  kiegészítő adatok:</t>
  </si>
  <si>
    <t>Teljesen (0-ig) vagy maradványértékig leírt korlátozottan forgalomképes szellemi termékek</t>
  </si>
  <si>
    <t>Teljesen (0-ig) vagy maradványértékig leírt korlátozottan forgalomképes egyéb gép,berendezés és felszerelés</t>
  </si>
  <si>
    <t>A 01-02. számlacsoportban nyilvántartott eszközök</t>
  </si>
  <si>
    <t>Polgármesteri Hivatal kiegészítő adatok:</t>
  </si>
  <si>
    <t>Teljesen (0-ig) vagy maradványértékig leírt, korlátozottan forgalomképes kisértékű szellemi termékek</t>
  </si>
  <si>
    <t>Teljesen (0-ig) vagy maradványértékig leírt, korlátozottan forgalomképes kisértékű informatikai eszköz</t>
  </si>
  <si>
    <t>Teljesen (0-ig) vagy maradványértékig leírt, korlátozottan forgalomképes kisértékű egyéb gép berendezés és felsz.</t>
  </si>
  <si>
    <t>Teljesen (0-ig) vagy maradványértékig leírt, üzemeltetésre ,kezelésbe adott korlátozottan forgalomképes kisértékű egyéb gép és felsz.</t>
  </si>
  <si>
    <t>Teljesen (0-ig) vagy maradványértékig leírt, korlátozottan forgalomképes informatikai eszközök</t>
  </si>
  <si>
    <t>Teljesen (0-ig) vagy maradványértékig leírt üzleti (forgalomképes) informatikai eszköz</t>
  </si>
  <si>
    <t>Teljesen (0-ig) vagy maradványértékig leírt, üzemeltetésre, kezelésbe adott korlátozottan forgalomképes informatikai eszközök</t>
  </si>
  <si>
    <t>Martfű Város Önkormányzata Gyermekjóléti és Szociális Szolgáltató Központ összesen:</t>
  </si>
  <si>
    <t>Teljesen (0-ig) vagy maradványértékig leírt korlátozottan forgalomképes járművek értéke</t>
  </si>
  <si>
    <t>Martfű Külterület 083 hrsz külterületi ingatlan</t>
  </si>
  <si>
    <t>Martfű belterület 1665 hrsz nem lakóingatlan vásárlás</t>
  </si>
  <si>
    <t>Martfű belterület 1655 hrsz nem lakóingatlan vásárlsá</t>
  </si>
  <si>
    <t>Teljesen (0-ig) vagy maradványértékig leírt,üzemeltetésre, kezelésbe adott üzleti (forgalomképes) különféle egyéb építmények</t>
  </si>
  <si>
    <t>MÁV terület rendezése</t>
  </si>
  <si>
    <t>Zsófia halmi út-Óváros hátsó összekötő út szakaszos aszfaltozása</t>
  </si>
  <si>
    <t>Temetőhöz vezető úton esővízcsatorna csere</t>
  </si>
  <si>
    <t>2026. évi előirányzat</t>
  </si>
  <si>
    <t>2024. módosított előirányzat</t>
  </si>
  <si>
    <t>2028. év</t>
  </si>
  <si>
    <t>Szolnoki úti gázvezeték</t>
  </si>
  <si>
    <t>Nyilvántartási érték (e Ft)</t>
  </si>
  <si>
    <t>2024.év</t>
  </si>
  <si>
    <t>Fecskeház-Bata út 810/8.hrsz</t>
  </si>
  <si>
    <t>Idősek Otthona kialakítás Mártírok út 4.</t>
  </si>
  <si>
    <t>Mentőállomás fejlesztése I.ütem TOP-Plusz-3.3.2-21</t>
  </si>
  <si>
    <t>Befejezetlen vásárolt egyéb építmények beruházásának áll.</t>
  </si>
  <si>
    <t>Óváros infrastrukturális fejlesztése(lakótelkek) útépítés és csapadékvíz elvezetés</t>
  </si>
  <si>
    <t>Hulladéklerakó szakmai terv.e.évi.áll.</t>
  </si>
  <si>
    <t>TOP-Plusz-1.1.1-21 Martfű Város iparterületeinek és helyi piacának fejlesztése</t>
  </si>
  <si>
    <t>TOP-Plusz-1.2.3-21 Martfű Város belterületi útjainak fejlesztése</t>
  </si>
  <si>
    <t>Meggy és Cseresznye utcák burkolat építése</t>
  </si>
  <si>
    <t>Kossuth L. úti esővíz elvezető csatorna</t>
  </si>
  <si>
    <t>Kézműves Ház felújítás</t>
  </si>
  <si>
    <t>Martfű Város Önkormányzata Gyermekjóléti és Szociális Szolgáltató Központ kiegészítő adatok:</t>
  </si>
  <si>
    <t>"No Limits" Sportegyesület</t>
  </si>
  <si>
    <t>Fogorvosi körzet támogatása határozat alapján</t>
  </si>
  <si>
    <t>1.1.1.3.2. Közvilágítás üzemeltetési támogatás</t>
  </si>
  <si>
    <t>Kamatbevételek (B4082)</t>
  </si>
  <si>
    <t>Államháztartáson belüli megelőlegezések</t>
  </si>
  <si>
    <t>1.2.3. Kiegészítő támogatás a pedagógusok és a ped.szakképzettséggel rendelkező segítők minősítéséből adódó többletkiadásokhoz</t>
  </si>
  <si>
    <t>Pályázati önerő bruttó (Ft)</t>
  </si>
  <si>
    <t>Telekkialakítás</t>
  </si>
  <si>
    <t>349/114</t>
  </si>
  <si>
    <t>349/106</t>
  </si>
  <si>
    <t>349/105</t>
  </si>
  <si>
    <t>349/103</t>
  </si>
  <si>
    <t>349/112</t>
  </si>
  <si>
    <t>349/111</t>
  </si>
  <si>
    <t>349/109</t>
  </si>
  <si>
    <t>Martfű külterület 087 szántó adásvétel</t>
  </si>
  <si>
    <t>Mandula út aszfalt út</t>
  </si>
  <si>
    <t>Egyép építmény</t>
  </si>
  <si>
    <t>791/6</t>
  </si>
  <si>
    <t>Kerítés</t>
  </si>
  <si>
    <t>Garázs</t>
  </si>
  <si>
    <t>Rekultivált szilárdhulladék-lerakó</t>
  </si>
  <si>
    <t>Külterületi ingatlanok aszfaltozása</t>
  </si>
  <si>
    <t>Mártírok út 4. földszint felújítás</t>
  </si>
  <si>
    <t>Bölcsőde fúrt kút és hidrofor akna</t>
  </si>
  <si>
    <t>Közterület(autómata öntözőrendszer terv.kiép.)</t>
  </si>
  <si>
    <t>Közvilágítás korszerűsítés</t>
  </si>
  <si>
    <t>Martos Flóra út csapadékvíz elvezető csatorna</t>
  </si>
  <si>
    <t>Szolnoki úti Cipőgyári bejáró-Körforgalom közötti gyalogjárda</t>
  </si>
  <si>
    <t>Iskola konyha szennyvízelvezetés csatornázás</t>
  </si>
  <si>
    <t>Szent István tér kerékpártároló</t>
  </si>
  <si>
    <t>Martfű Liliom út 2 db oszlop áthelyezése</t>
  </si>
  <si>
    <t>Szökőkút látványelemek beépítése és beüzemelése</t>
  </si>
  <si>
    <t>Tó körüli járda építés</t>
  </si>
  <si>
    <t>Öntözőrendszer kiépítése</t>
  </si>
  <si>
    <t>Kút tervezési díj</t>
  </si>
  <si>
    <t>Temető út-Zsófia kerékpár út</t>
  </si>
  <si>
    <t>Kikötő tér elektromos rendszer kiépítése</t>
  </si>
  <si>
    <t>Május 1 út és Martos Flóra út közötti garázssor szakasz</t>
  </si>
  <si>
    <t>Tisza Antal utca</t>
  </si>
  <si>
    <t>Kossuth utca</t>
  </si>
  <si>
    <t>Toldi Miklós utca</t>
  </si>
  <si>
    <t>Bethlen Gábor utca</t>
  </si>
  <si>
    <t>Kinizsi Pál út</t>
  </si>
  <si>
    <t>I.Buszmegálló(Gazdasági bejárónál)</t>
  </si>
  <si>
    <t>Külterületi helyi közutak fejl.VP6-7.2.1.1-21</t>
  </si>
  <si>
    <t>1670/5</t>
  </si>
  <si>
    <t>1670/16</t>
  </si>
  <si>
    <t>1670/23</t>
  </si>
  <si>
    <t>1670/36</t>
  </si>
  <si>
    <t>1670/60</t>
  </si>
  <si>
    <t>1670/89</t>
  </si>
  <si>
    <t>Martfű Géza fejedelem utcai bev.udvar útjai</t>
  </si>
  <si>
    <t>Buszmegálló(Gazdasági bejáró II.)</t>
  </si>
  <si>
    <t>Buszmegálló(Sportpálya I.)</t>
  </si>
  <si>
    <t>Buszmegálló(Sportpálya II.)</t>
  </si>
  <si>
    <t>Buszmegálló(Vasútállomás I.)</t>
  </si>
  <si>
    <t>1670/17</t>
  </si>
  <si>
    <t>Képviselő-testületi tagok száma:</t>
  </si>
  <si>
    <t>Informatikai eszközök</t>
  </si>
  <si>
    <t>Teljesen (0-ig) vagy maradványértékig leírt korlátozottan forgalomképes kisértékű egyéb gép,berendezés és felsz.</t>
  </si>
  <si>
    <t>1670/11</t>
  </si>
  <si>
    <t>1670/12</t>
  </si>
  <si>
    <t xml:space="preserve">Martfű külterület 086/2 </t>
  </si>
  <si>
    <t>086/2</t>
  </si>
  <si>
    <t>Martfű külterület 086/3</t>
  </si>
  <si>
    <t>086/3</t>
  </si>
  <si>
    <t>Martfű-Vezseny kompjárat sodronykötele</t>
  </si>
  <si>
    <t>Művelődési Központ és Könyvtár épülete</t>
  </si>
  <si>
    <t>Buszvárók (fedett-nyitott) piactéren</t>
  </si>
  <si>
    <t>Kerékpártárolók kialakítása Művelődési Központnál</t>
  </si>
  <si>
    <t>Kerékpártárolók kialakítása Rákóczi úton</t>
  </si>
  <si>
    <t>Óvoda Épülete  Kossuth út 22</t>
  </si>
  <si>
    <t>Óvoda  Épülete Munkácsy út 79</t>
  </si>
  <si>
    <t>Óvoda Épülete  Kossuth út 24</t>
  </si>
  <si>
    <t>LtSz.: 12114912-008</t>
  </si>
  <si>
    <t>Mártírok úti ált. iskola és torna csarnok</t>
  </si>
  <si>
    <t>Konyha és a hozzá tartozó ebédlő vagyonkezelésből visszaadása</t>
  </si>
  <si>
    <t>Villámvédelmi hálózat kiépítése Kossuth út 29. Főkefe</t>
  </si>
  <si>
    <t>090/1</t>
  </si>
  <si>
    <t xml:space="preserve">Iskola konyha villanyszerelési munkái </t>
  </si>
  <si>
    <t>Iskola konyha ebédlő és folyosó részlet burkolása</t>
  </si>
  <si>
    <t>Iskola konyha kerékpártároló</t>
  </si>
  <si>
    <t>Médium Pumpapálya</t>
  </si>
  <si>
    <t>Adventi Faházak 4db</t>
  </si>
  <si>
    <t>Munkácsy úti óvoda új kerítés</t>
  </si>
  <si>
    <t>Géza fejedelem úton közvilágítás kiépítése, hálózat bővítés</t>
  </si>
  <si>
    <t>Géza fejedelem úti gyalogjárda szakaszok kivitelezése</t>
  </si>
  <si>
    <t>Szent István tér időkapuhoz vezető szakasz járdáinak felújítása</t>
  </si>
  <si>
    <t>Kossuth úti óvoda aszfaltozási munkái</t>
  </si>
  <si>
    <t>Buszmegálló(Vasútállomás II.)</t>
  </si>
  <si>
    <t>Belterületi ingatlan Martfű - Piactér</t>
  </si>
  <si>
    <t>TOP-Plusz-1.2.1-21 (Élhető település ) csapadékvíz</t>
  </si>
  <si>
    <t>KAP-RD43-1-25 Külterület utak fejlesztése</t>
  </si>
  <si>
    <t xml:space="preserve">Munkácsy úti parkolóterület rekonstrukció, bővítés </t>
  </si>
  <si>
    <t>Zsófia halom utca vízellátása</t>
  </si>
  <si>
    <t>Befejezetlen vásárolt lakóépület (ideértve lakás) felújítások állománya</t>
  </si>
  <si>
    <t>Befejezetlen vásárolt egyéb épület felújítások állománya</t>
  </si>
  <si>
    <t>Kossuth L.utca és Zrinyi M.utca ivóvíz vezeték rekonstrukció</t>
  </si>
  <si>
    <t>Rekultivált földterület körüli kerítés</t>
  </si>
  <si>
    <t>134/20</t>
  </si>
  <si>
    <t>Városközpont melletti járda (Szolnoki út)</t>
  </si>
  <si>
    <t>Városközpont melletti kerékpárút</t>
  </si>
  <si>
    <t>Mártírok úti aszfaltozott parkoló (Városközpont)</t>
  </si>
  <si>
    <t>Városközpont, Mártírok út előtti aszfaltút</t>
  </si>
  <si>
    <t>Mártírok előtti járda (Városközpont)</t>
  </si>
  <si>
    <t>TIGÁZ előtti terület parkoló Munkácsy úton</t>
  </si>
  <si>
    <t>TIGÁZ előtti területen út-Munkácsy úton</t>
  </si>
  <si>
    <t>Parkoló és út Tisza ABC mellett, Szolnoki út</t>
  </si>
  <si>
    <t>Szökőkutas park(Volt közterületetn út-parkoló,Szolnoki úton)</t>
  </si>
  <si>
    <t>Garázssor melletti út (földút)</t>
  </si>
  <si>
    <t>Vajda J. út aszfalt út</t>
  </si>
  <si>
    <t>Rákóczi úti hirdetőtábla alatti térburkolat</t>
  </si>
  <si>
    <t>Buszpályu.- Simon F. út összeköt.járdaszakasz</t>
  </si>
  <si>
    <t>04/2,</t>
  </si>
  <si>
    <t>Szolnoki út (május 1 út-Ifjúsági út parkolók építése</t>
  </si>
  <si>
    <t>04/3,</t>
  </si>
  <si>
    <t>Hunyadi út és bekötő utak csapadékelvezető rendszer</t>
  </si>
  <si>
    <t>Martfű Kossuth út 1455hrsz csapadékvízelvezető árok mélyítési munkái</t>
  </si>
  <si>
    <t>Körforg. és vasúti átjáró közötti kerkékpárút és járda</t>
  </si>
  <si>
    <t>Közvilágítási hálóuat</t>
  </si>
  <si>
    <t xml:space="preserve"> Pipacs utca(Kállai Éva volt)   út alatti földterület</t>
  </si>
  <si>
    <t>Pipacs utca (Kállai Éva út volt) aszfaltút</t>
  </si>
  <si>
    <t>Galagonya utca (Kun Béla volt ) melletti földterület</t>
  </si>
  <si>
    <t>Galagonya utca (Kun Béla volt )  alatti földterület</t>
  </si>
  <si>
    <t>Levendula utca (Landler J. út volt )alatti földterület</t>
  </si>
  <si>
    <t>Levendula utca (Landler J. út volt ) alatti földterület</t>
  </si>
  <si>
    <t xml:space="preserve"> Kérész út (Dr. Münnich F. út volt) alatti földterület</t>
  </si>
  <si>
    <t xml:space="preserve"> Kérész út (Dr. Münnich F. út volt) aszfalút</t>
  </si>
  <si>
    <t>Járda:Petőfi S. és  Kérész út (Dr. Münnich F. út volt)</t>
  </si>
  <si>
    <t>Mandula utca ( Nógrádi út volt ) aszfaltút</t>
  </si>
  <si>
    <t>Mandula utca ( Nógrádi út volt ) alatti földterület</t>
  </si>
  <si>
    <t>Mandula utca ( Nógrádi út volt ) járda</t>
  </si>
  <si>
    <t>Bartók Béla utca (Rózsa F. út volt ) alatti földterület</t>
  </si>
  <si>
    <t>Bartók Béla utca (Rózsa F. út volt )aszfaltút</t>
  </si>
  <si>
    <t>Bartók Béla utca (Rózsa F. út volt ) járda</t>
  </si>
  <si>
    <t>Bartók Béla utca (Rózsa F. út volt ) aszfaltút</t>
  </si>
  <si>
    <t>Járdák Bartók Béla utca (Rózsa F. út volt )</t>
  </si>
  <si>
    <t>Iskola utca (Sallai út volt) alatti földterület</t>
  </si>
  <si>
    <t>Iskola utca (Sallai út volt) aszfaltút</t>
  </si>
  <si>
    <t>Lakás Bata utca (Ságvári út volt ) 4. 1/5.</t>
  </si>
  <si>
    <t>Bata utca (Ságvári út volt ) lakótelep zöldterület</t>
  </si>
  <si>
    <t>Bérlők háza II. (női sz.)Bata utca (Ságvári út volt ) 11.</t>
  </si>
  <si>
    <t>Bata utca (Ságvári út volt ) alatti földterület</t>
  </si>
  <si>
    <t>Bata utca (Ságvári út volt ) aszfaltút</t>
  </si>
  <si>
    <t>Borostyán utca (Zalka M. út volt ) alatti földterület</t>
  </si>
  <si>
    <t>Borostyán utca (Zalka M. út volt ) út járda</t>
  </si>
  <si>
    <t>Borostyán utca (Zalka M. út volt ) járda</t>
  </si>
  <si>
    <t>Borostyán utca (Zalka M. út volt )aszfaltút</t>
  </si>
  <si>
    <t>Napraforgó utca (Szamuely T. út volt )alatti földterület</t>
  </si>
  <si>
    <t>Napraforgó utca (Szamuely T. út volt ) járda</t>
  </si>
  <si>
    <t>Napraforgó utca (Szamuely T. út volt ) aszfaltút</t>
  </si>
  <si>
    <t>Lakás  Gesztenye sor (Lenin út volt ) 5.</t>
  </si>
  <si>
    <t>Gesztenye sor (Lenin út volt ) lakótelep zöldterület</t>
  </si>
  <si>
    <t>Kresszpark Gesztenye sor (Lenin út volt )</t>
  </si>
  <si>
    <t>Gesztenye sor (Lenin út volt ) transzformátor</t>
  </si>
  <si>
    <t>Gesztenye sor (Lenin út volt ) ipartelepi út alatti földterület</t>
  </si>
  <si>
    <t xml:space="preserve"> Gesztenye sor (Lenin út volt )ipartelepi út alatti földterület</t>
  </si>
  <si>
    <t>Gesztenye sor (Lenin út volt )ipartelepi út alatti földterület</t>
  </si>
  <si>
    <t>Gesztenye sor (Lenin út volt ) járda alatti földterület</t>
  </si>
  <si>
    <t>Gesztenye sor (Lenin út volt ) Ipartelepi út</t>
  </si>
  <si>
    <t>Ipartelepi út Gesztenye sor (Lenin út volt ) aszfalt</t>
  </si>
  <si>
    <t>Ipartelepi útGesztenye sor (Lenin út volt ) aszfalt</t>
  </si>
  <si>
    <t>Gesztenye sor (Lenin út volt ) aszfalt út</t>
  </si>
  <si>
    <t>Gesztenye sor (Lenin út volt ) járda</t>
  </si>
  <si>
    <t xml:space="preserve"> Gesztenye sor (Lenin út volt )járda aszfaltozás</t>
  </si>
  <si>
    <t>Forgalomképtelen egyéb telek Összesen</t>
  </si>
  <si>
    <t>Alaptevékenység egyéb építményei összesen</t>
  </si>
  <si>
    <t>Ingatlanok összesen</t>
  </si>
  <si>
    <t>Gépek, berendezések, felszerelések Összesen</t>
  </si>
  <si>
    <t>Immateriális javak Összesen</t>
  </si>
  <si>
    <t>Ingatlanok Összesen</t>
  </si>
  <si>
    <t>Alaptevékenység üzleti (forg.) telkei Összesen</t>
  </si>
  <si>
    <t>Alaptevékenység lakótelkei és egyéb célú telkei  Összesen</t>
  </si>
  <si>
    <t>Alaptevékenység földterületei Összesen</t>
  </si>
  <si>
    <t>Egyéb célú telkek Összesen:</t>
  </si>
  <si>
    <t>Alaptevékenység egyéb épületei, építményei Összesen:</t>
  </si>
  <si>
    <t xml:space="preserve"> Ingatlanokhoz kapcsolódó folyamatban maradó beruházások Összesen:</t>
  </si>
  <si>
    <t>Gépek, berendezések és felszerelések Összesen:</t>
  </si>
  <si>
    <t>Alaptevékenység egyéb épületei Összesen</t>
  </si>
  <si>
    <t>Hrsz</t>
  </si>
  <si>
    <t>Alaptevékenység üzleti (forg.) földterületei Összesen</t>
  </si>
  <si>
    <t>Immateriális javak Összesen:</t>
  </si>
  <si>
    <t>egyéb gépek berendezések Összesen</t>
  </si>
  <si>
    <t>Gépek, berendezések, felszerelések és járművek Összesen:</t>
  </si>
  <si>
    <t>Külterületi helyi közutak fejl.VP6-7.2.1.1-22</t>
  </si>
  <si>
    <t>Külterületi helyi közutak fejl.VP6-7.2.1.1-23</t>
  </si>
  <si>
    <t>Külterületi helyi közutak fejl.VP6-7.2.1.1-24</t>
  </si>
  <si>
    <t>Külterületi helyi közutak fejl.VP6-7.2.1.1-25</t>
  </si>
  <si>
    <t>Bölcsőde(új) keríté</t>
  </si>
  <si>
    <t>Váci Mihály út alatti földterület</t>
  </si>
  <si>
    <t>Telek ( forgalomképes)</t>
  </si>
  <si>
    <t>Telek (korlátozottan forgalomképes)</t>
  </si>
  <si>
    <t>Épületek, építmények ( forgalomképes)</t>
  </si>
  <si>
    <t>Épületek, építmények (korlátozottan forgalomképes)</t>
  </si>
  <si>
    <t>Gépek, berendezések, felszerelések (korlátozottan forgalomképes)</t>
  </si>
  <si>
    <t xml:space="preserve"> Befektetett pénzügyi eszközök</t>
  </si>
  <si>
    <t>Befektetett  pénzügyi eszközök összesen:</t>
  </si>
  <si>
    <t>Parkoló (Martos Flóra Ált. isk volt József Attila Általános Iskola)</t>
  </si>
  <si>
    <t>Középfeszültség áthelyezés tervezés, kivitelezés-Zsófia halom</t>
  </si>
  <si>
    <t>Óváros, Kossuth Lajos úti csapadékvíz elvezetés</t>
  </si>
  <si>
    <t>Csapadékvíz elvezetés Virág, Déryné, Táncsics, Borostyán, Damjanich kb 1400 fm felszíni</t>
  </si>
  <si>
    <t>Szolnoki út-fák alatti járda, kerékpárút megvilágítása, terv és kivitel.</t>
  </si>
  <si>
    <t>Tósétány térvilágítás terv és kivitelezés</t>
  </si>
  <si>
    <t>Géza fejedelem utca, bevásárló udvarokhoz járdaépítés</t>
  </si>
  <si>
    <t>Móricz Zs.- Babits M. útig járdaépítés</t>
  </si>
  <si>
    <t>Szolnoki út és Ifjúsági út között járdaépítés</t>
  </si>
  <si>
    <t xml:space="preserve">Városháza körüli sétány burkolat felújítása, padok elhelyezése, virágágyások kialakítása </t>
  </si>
  <si>
    <t>Városháza melletti tó - Híd építése</t>
  </si>
  <si>
    <t>TOP-PLUSZ-1.2.1-21-JN1-2022-00026 sz. „Élhető települések” pályázat -belvíz elvezetés</t>
  </si>
  <si>
    <t>Galamb elleni védekezés</t>
  </si>
  <si>
    <t xml:space="preserve">TOP-PLUSZ -1.1.1-21-JN1-2022-00015 "Helyi gazdaságfejlesztés" elnevezésű pályázat </t>
  </si>
  <si>
    <t>TOP-PLUSZ -3.3.2-21-JN1-2022-00017 "Mentőállomás fejlesztés" elnevezésű pályázat I. ütem</t>
  </si>
  <si>
    <t>20.</t>
  </si>
  <si>
    <t xml:space="preserve">TOP-PLUSZ -1.2.3-21-JN1-2022-00041 "Belterületi utak fejlesztése" pályázat </t>
  </si>
  <si>
    <t>21.</t>
  </si>
  <si>
    <t>Külterületi utak fejlesztése-pályázati önerő</t>
  </si>
  <si>
    <t>22.</t>
  </si>
  <si>
    <t>23.</t>
  </si>
  <si>
    <t xml:space="preserve">Bentlakásos nyugdíjas otthon tervek és kivitelezés </t>
  </si>
  <si>
    <t>24.</t>
  </si>
  <si>
    <t>Zsófia halom-ivóvíz ellátás kiépítése</t>
  </si>
  <si>
    <t>25.</t>
  </si>
  <si>
    <t>Zsófia halom, Meggy, Cseresznye utca útburkolat felújítás</t>
  </si>
  <si>
    <t>26.</t>
  </si>
  <si>
    <t>27.</t>
  </si>
  <si>
    <t>Fecskeház kivitelezése</t>
  </si>
  <si>
    <t>28.</t>
  </si>
  <si>
    <t>Garzon-elektromos hálózat fejlesztés</t>
  </si>
  <si>
    <t>29.</t>
  </si>
  <si>
    <t>30.</t>
  </si>
  <si>
    <t>Temetőhöz vezető úton csapadékvíz csatorna csere</t>
  </si>
  <si>
    <t>31.</t>
  </si>
  <si>
    <t>Sportcsarnok-vízmérőóra csere (szűkítés)</t>
  </si>
  <si>
    <t>32.</t>
  </si>
  <si>
    <t xml:space="preserve">FIAT Ducato ponyva + váz </t>
  </si>
  <si>
    <t>33.</t>
  </si>
  <si>
    <t>Tolólap beszerzés munkagéphez</t>
  </si>
  <si>
    <t>34.</t>
  </si>
  <si>
    <t>Hóeke beszerzés</t>
  </si>
  <si>
    <t>35.</t>
  </si>
  <si>
    <t>Rider diesel fűnyíró beszerzés</t>
  </si>
  <si>
    <t>36.</t>
  </si>
  <si>
    <t>Szárzúzó adapter beszerzés</t>
  </si>
  <si>
    <t>37.</t>
  </si>
  <si>
    <t>ISEKI kistraktorhoz vágóasztal beszerzés</t>
  </si>
  <si>
    <t>38.</t>
  </si>
  <si>
    <t>Félipari tisztítógép-sportcsarnokhoz</t>
  </si>
  <si>
    <t>39.</t>
  </si>
  <si>
    <t>Elektromos kisteherautó beszerzés</t>
  </si>
  <si>
    <t>40.</t>
  </si>
  <si>
    <t>Földterület vásárlás</t>
  </si>
  <si>
    <t>41.</t>
  </si>
  <si>
    <t>PUMPA pálya kialakítása, önrész</t>
  </si>
  <si>
    <t>42.</t>
  </si>
  <si>
    <t>Művelődési Központ előtti kandeláberek tervezése, cseréje</t>
  </si>
  <si>
    <t>43.</t>
  </si>
  <si>
    <t>Parkolók építése</t>
  </si>
  <si>
    <t>44.</t>
  </si>
  <si>
    <t>KAP-RD43-1-24 Külterületi utak fejlesztése pályázati önerő</t>
  </si>
  <si>
    <t>45.</t>
  </si>
  <si>
    <t>Szent István téri Időkapu körüli járda felújítása, kiépítése</t>
  </si>
  <si>
    <t>46.</t>
  </si>
  <si>
    <t>2. számú fogorvosi körzetbe fogorvosi szék beszerzés</t>
  </si>
  <si>
    <t>47.</t>
  </si>
  <si>
    <t>48.</t>
  </si>
  <si>
    <t>Polgármesteri Hivatal ingatlan</t>
  </si>
  <si>
    <t>Számítógép fejleszések műszaki iroda 4 db</t>
  </si>
  <si>
    <t>Szoftverek (AutoCad, Terc)</t>
  </si>
  <si>
    <t>Klíma csere 4 db</t>
  </si>
  <si>
    <t>49.</t>
  </si>
  <si>
    <t>Gyermekjóléti és Szociális Szolg. Központ ingatlan</t>
  </si>
  <si>
    <t>AC raktár-vízmérőóra csere (szűkítés)</t>
  </si>
  <si>
    <t>AC raktár-első bejárati homlokzat szigetelése, festése, öltözők ablakcseréje</t>
  </si>
  <si>
    <t>AC raktár-gépjárműtároló tetőszigetelése</t>
  </si>
  <si>
    <t>Tálalókonyha nyílászáró cseréje és az épület szerkezeti helyreállítása</t>
  </si>
  <si>
    <t>Konyhai parkoló térkövezése, légtisztító körüli kerítés cseréje</t>
  </si>
  <si>
    <t>Konyha-kerékpártároló</t>
  </si>
  <si>
    <t>50.</t>
  </si>
  <si>
    <t>Kossuth úti óvoda-aszfaltozás</t>
  </si>
  <si>
    <t>Munkácsy úti, Kossuth úti óvoda-kerítés felújítás, építés</t>
  </si>
  <si>
    <t>Klíma berendezés - Munkácsy úti csoportszobák</t>
  </si>
  <si>
    <t>51.</t>
  </si>
  <si>
    <t>Légtechnika felújítás</t>
  </si>
  <si>
    <t>Vízmérőóra csere (szűkítés)</t>
  </si>
  <si>
    <t>52.</t>
  </si>
  <si>
    <t>53.</t>
  </si>
  <si>
    <t>54.</t>
  </si>
  <si>
    <t xml:space="preserve">Egyéb kisértékű gép, berendezés, informatikai eszközbeszerzés </t>
  </si>
  <si>
    <t>Az önkormányzat 2025. évi felhalmozási kiadásai</t>
  </si>
  <si>
    <t>ez van képletezve!</t>
  </si>
  <si>
    <t>Számítógép csere</t>
  </si>
  <si>
    <t>Egyéb kisértékű gép,berendezés, informatikai eszköz beszerzés</t>
  </si>
  <si>
    <t>Mosogatógép Omniwash Elite</t>
  </si>
  <si>
    <t>3.Játékvár Óvoda és Bölcsőde</t>
  </si>
  <si>
    <t>Csörlő színpadra</t>
  </si>
  <si>
    <t>Klíma-tanácsterem</t>
  </si>
  <si>
    <t>Riasztó-Pécskői gyűjtemény</t>
  </si>
  <si>
    <t>Könyvtári szervergép beszerzés</t>
  </si>
  <si>
    <t>Kisértékű kulturális javak beszerzése</t>
  </si>
  <si>
    <t xml:space="preserve">Egyéb kisértékű informatikai eszközbeszerzés </t>
  </si>
  <si>
    <t xml:space="preserve">Egyéb kisértékű gép, berendezés eszközbeszerzés </t>
  </si>
  <si>
    <t xml:space="preserve"> 3. Játékvár Óvoda és Bölcsőde</t>
  </si>
  <si>
    <t>4. Városi Művelődési Központ és Könyvtár</t>
  </si>
  <si>
    <t>5.  Gyermekjóléti és Szociális Szolg. Központ</t>
  </si>
  <si>
    <t>Klíma berendezés</t>
  </si>
  <si>
    <t>Lapvibráror</t>
  </si>
  <si>
    <t>Egyéb kisértékű  inf.eszköz, berendezés beszerzés</t>
  </si>
  <si>
    <t>Egyéb kisértékű gép,eszköz, berendezés beszerzés</t>
  </si>
  <si>
    <t>Gyermekjóléti és Szociális Szolg. Központ beruházásai összesen:</t>
  </si>
  <si>
    <t xml:space="preserve">Járdafelújítás </t>
  </si>
  <si>
    <t>Gesztenye sor Játszótér ács és tetőfedési munkálatok</t>
  </si>
  <si>
    <t>Kossuth L- u-Zrínyi M. u ivóvíz rekonstrukciós tervek előkészítése</t>
  </si>
  <si>
    <t>Bácsvíz levegőszűrő csere</t>
  </si>
  <si>
    <t>Nyugati szárny-fsz-i mosdók felújítása</t>
  </si>
  <si>
    <t>AC raktár gépjárműtároló csapadékvíz elvezetés és hátsó nagykapu felújítás</t>
  </si>
  <si>
    <t>Önkormányzat és Önkormányzati ingatlanok felújításai összesen:</t>
  </si>
  <si>
    <t>Kisértékűinformatikai eszköz felújítás</t>
  </si>
  <si>
    <t>Polgármesteri  Hivatal felújításai összesen:</t>
  </si>
  <si>
    <t>2. Polgármesteri Hivatal</t>
  </si>
  <si>
    <t xml:space="preserve">Polgármesteri  Hivatal </t>
  </si>
  <si>
    <t>Víziközmű-vagyon bérleti díjából fel nem haszn.rész</t>
  </si>
  <si>
    <t>nettó</t>
  </si>
  <si>
    <t>Bruttó</t>
  </si>
  <si>
    <t>Könyvelés</t>
  </si>
  <si>
    <t>Géza fejedelem utca-Közvilágítás- Versenyképes Járások Program</t>
  </si>
  <si>
    <t>Kossuth út-Rákóczi út kereszteződésében gyalogátkelő kivitelezés,kialakítása</t>
  </si>
  <si>
    <t>TOP-PLUSZ -3.3.2-21-JN1-2022-00017  pályázat I. ütem Kossuth Lajos Utca Energetikai korszerűsítés</t>
  </si>
  <si>
    <t xml:space="preserve">Mozi nézőtéri világítás szabályozó rendszer kiépítése </t>
  </si>
  <si>
    <t>55.</t>
  </si>
  <si>
    <t>Aktív Magyarország Országos Futópálya-építési Program 2026</t>
  </si>
  <si>
    <t>56.</t>
  </si>
  <si>
    <t>Adventi faházak 4 db</t>
  </si>
  <si>
    <r>
      <t>TOP­PLUSZ-3.3.1-21-JN1-2022-00001 sz.</t>
    </r>
    <r>
      <rPr>
        <vertAlign val="subscript"/>
        <sz val="12"/>
        <rFont val="Times New Roman"/>
        <family val="1"/>
      </rPr>
      <t xml:space="preserve">  </t>
    </r>
    <r>
      <rPr>
        <sz val="12"/>
        <rFont val="Times New Roman"/>
        <family val="1"/>
      </rPr>
      <t xml:space="preserve">„Kossuth úti tagóvoda isfrastrukturális fejl.” pályázat </t>
    </r>
  </si>
  <si>
    <t>Fight Club Martfű Sportegyesület</t>
  </si>
  <si>
    <t>Várható iparűzési adótöbblet kifizetésére szolgáló tartalék</t>
  </si>
  <si>
    <t>Egyéb működési célú tám. ÁHT-n kívülre (K512) összesen:</t>
  </si>
  <si>
    <t>Kóbor ebek befogása</t>
  </si>
  <si>
    <t>Tiszaföldvári Önk.-i Tűzoltó Parancsnokság támogatása</t>
  </si>
  <si>
    <t>Települési segély,egyéb az Önkormányzat rendeletében megállapított juttatás(Születési támogatás,Szoc.ösztöndíjak,70 év felettiek</t>
  </si>
  <si>
    <t>Települési támogatás (Szoctv. 45.§)</t>
  </si>
  <si>
    <t>Villamos energia 2025. év</t>
  </si>
  <si>
    <t xml:space="preserve"> HMKE-k 2024. évi termelése        kWh</t>
  </si>
  <si>
    <r>
      <rPr>
        <b/>
        <sz val="14"/>
        <rFont val="Times New Roman"/>
        <family val="1"/>
        <charset val="238"/>
      </rPr>
      <t xml:space="preserve">* </t>
    </r>
    <r>
      <rPr>
        <b/>
        <sz val="8"/>
        <rFont val="Times New Roman"/>
        <family val="1"/>
        <charset val="238"/>
      </rPr>
      <t>HMKE-k 2025. évi termelése        kWh</t>
    </r>
  </si>
  <si>
    <t>napenergia részaránya az összes felhasználáson belül</t>
  </si>
  <si>
    <t>Napelemek termelésének változása az előző évhez viszonyítva</t>
  </si>
  <si>
    <r>
      <rPr>
        <b/>
        <sz val="12"/>
        <rFont val="Times New Roman"/>
        <family val="1"/>
        <charset val="238"/>
      </rPr>
      <t xml:space="preserve">*** </t>
    </r>
    <r>
      <rPr>
        <b/>
        <sz val="10"/>
        <rFont val="Times New Roman"/>
        <family val="1"/>
        <charset val="238"/>
      </rPr>
      <t>Megtakarítás összege                 nettó Ft-ban</t>
    </r>
  </si>
  <si>
    <t>Napelemek termelésének alakulása</t>
  </si>
  <si>
    <r>
      <t xml:space="preserve">Egészségház </t>
    </r>
    <r>
      <rPr>
        <b/>
        <sz val="14"/>
        <rFont val="Times New Roman"/>
        <family val="1"/>
        <charset val="238"/>
      </rPr>
      <t>*</t>
    </r>
    <r>
      <rPr>
        <sz val="11"/>
        <rFont val="Times New Roman"/>
        <family val="1"/>
        <charset val="238"/>
      </rPr>
      <t xml:space="preserve">                           2012.04-től   2023.10.</t>
    </r>
  </si>
  <si>
    <r>
      <t xml:space="preserve">AC raktár   </t>
    </r>
    <r>
      <rPr>
        <b/>
        <sz val="11"/>
        <color indexed="60"/>
        <rFont val="Times New Roman"/>
        <family val="1"/>
        <charset val="238"/>
      </rPr>
      <t>**</t>
    </r>
    <r>
      <rPr>
        <sz val="11"/>
        <rFont val="Times New Roman"/>
        <family val="1"/>
        <charset val="238"/>
      </rPr>
      <t xml:space="preserve">               2018.05-től</t>
    </r>
  </si>
  <si>
    <r>
      <t xml:space="preserve">Konyha  </t>
    </r>
    <r>
      <rPr>
        <b/>
        <sz val="11"/>
        <color indexed="60"/>
        <rFont val="Times New Roman"/>
        <family val="1"/>
        <charset val="238"/>
      </rPr>
      <t>**</t>
    </r>
    <r>
      <rPr>
        <sz val="11"/>
        <rFont val="Times New Roman"/>
        <family val="1"/>
        <charset val="238"/>
      </rPr>
      <t xml:space="preserve">             2020.04-től</t>
    </r>
  </si>
  <si>
    <t>Közösségi ház                                          2024.09.05-tól</t>
  </si>
  <si>
    <t>Kereskedőnek  kiszámlázandó  túltermelés:**</t>
  </si>
  <si>
    <t>A számlázási egységár egyeztetése folyamatban van a kereskedővel.</t>
  </si>
  <si>
    <r>
      <rPr>
        <b/>
        <sz val="11"/>
        <rFont val="Times New Roman"/>
        <family val="1"/>
        <charset val="238"/>
      </rPr>
      <t>*</t>
    </r>
    <r>
      <rPr>
        <sz val="11"/>
        <rFont val="Times New Roman"/>
        <family val="1"/>
        <charset val="238"/>
      </rPr>
      <t xml:space="preserve"> -  az éves szaldó elszámolásnál a jóváíráson felüli többlettermelés elszámolása a kereskedővel történik</t>
    </r>
  </si>
  <si>
    <r>
      <rPr>
        <b/>
        <sz val="11"/>
        <rFont val="Times New Roman"/>
        <family val="1"/>
        <charset val="238"/>
      </rPr>
      <t>**</t>
    </r>
    <r>
      <rPr>
        <sz val="11"/>
        <rFont val="Times New Roman"/>
        <family val="1"/>
        <charset val="238"/>
      </rPr>
      <t xml:space="preserve"> - napelemek termeléséből (hálózati vételezés csökkenéséből) származó megtakarítás, vételezési teljes átlagárral számítva. </t>
    </r>
  </si>
  <si>
    <t>Villamos energia vételezés és költségeinek alakulása</t>
  </si>
  <si>
    <t>változás</t>
  </si>
  <si>
    <t>Költségváltozás előző évhez viszonyítva</t>
  </si>
  <si>
    <r>
      <t xml:space="preserve">2025. év </t>
    </r>
    <r>
      <rPr>
        <sz val="14"/>
        <rFont val="Times New Roman"/>
        <family val="1"/>
        <charset val="238"/>
      </rPr>
      <t>**</t>
    </r>
  </si>
  <si>
    <r>
      <rPr>
        <b/>
        <i/>
        <sz val="10"/>
        <rFont val="Times New Roman"/>
        <family val="1"/>
        <charset val="238"/>
      </rPr>
      <t>energiadíj változása</t>
    </r>
    <r>
      <rPr>
        <b/>
        <i/>
        <sz val="12"/>
        <rFont val="Times New Roman"/>
        <family val="1"/>
        <charset val="238"/>
      </rPr>
      <t>:</t>
    </r>
    <r>
      <rPr>
        <sz val="12"/>
        <rFont val="Times New Roman"/>
        <family val="1"/>
        <charset val="238"/>
      </rPr>
      <t xml:space="preserve"> *                                                                                    </t>
    </r>
    <r>
      <rPr>
        <sz val="10"/>
        <rFont val="Times New Roman"/>
        <family val="1"/>
        <charset val="238"/>
      </rPr>
      <t xml:space="preserve"> előző évi áramár (46,70 Ft/kWh) és tárgyévi áramár átlag (53,78 Ft/kWh)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tárgyévi összfogyasztás </t>
    </r>
  </si>
  <si>
    <r>
      <rPr>
        <b/>
        <i/>
        <sz val="10"/>
        <rFont val="Times New Roman"/>
        <family val="1"/>
        <charset val="238"/>
      </rPr>
      <t>RHD és adó jellegű díjak változása:</t>
    </r>
    <r>
      <rPr>
        <sz val="12"/>
        <rFont val="Times New Roman"/>
        <family val="1"/>
        <charset val="238"/>
      </rPr>
      <t xml:space="preserve"> *                                                                    </t>
    </r>
    <r>
      <rPr>
        <sz val="10"/>
        <rFont val="Times New Roman"/>
        <family val="1"/>
        <charset val="238"/>
      </rPr>
      <t xml:space="preserve"> előző évi átlag (41,91 Ft/kWh) és tárgyévi átlag (46,56 Ft/kWh)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tárgyévi összfogyasztás </t>
    </r>
  </si>
  <si>
    <t>Költségváltozás összesen:</t>
  </si>
  <si>
    <t>A napelemek termelésével elért megtakarítás, a kiszámlázott túltermelés értéke és a tárgyévi költségváltozás összege</t>
  </si>
  <si>
    <r>
      <t xml:space="preserve">*   - az </t>
    </r>
    <r>
      <rPr>
        <b/>
        <sz val="11"/>
        <rFont val="Times New Roman"/>
        <family val="1"/>
        <charset val="238"/>
      </rPr>
      <t>áram ára</t>
    </r>
    <r>
      <rPr>
        <sz val="11"/>
        <rFont val="Times New Roman"/>
        <family val="1"/>
        <charset val="238"/>
      </rPr>
      <t xml:space="preserve"> az előző évhez viszonyítva </t>
    </r>
    <r>
      <rPr>
        <b/>
        <sz val="11"/>
        <rFont val="Times New Roman"/>
        <family val="1"/>
        <charset val="238"/>
      </rPr>
      <t>15,16 %-al</t>
    </r>
    <r>
      <rPr>
        <sz val="11"/>
        <rFont val="Times New Roman"/>
        <family val="1"/>
        <charset val="238"/>
      </rPr>
      <t>, az</t>
    </r>
    <r>
      <rPr>
        <b/>
        <sz val="11"/>
        <rFont val="Times New Roman"/>
        <family val="1"/>
        <charset val="238"/>
      </rPr>
      <t xml:space="preserve"> RHD és az adó jellegű díjak </t>
    </r>
    <r>
      <rPr>
        <sz val="11"/>
        <rFont val="Times New Roman"/>
        <family val="1"/>
        <charset val="238"/>
      </rPr>
      <t xml:space="preserve">pedig </t>
    </r>
    <r>
      <rPr>
        <b/>
        <sz val="11"/>
        <rFont val="Times New Roman"/>
        <family val="1"/>
        <charset val="238"/>
      </rPr>
      <t>közel 11,1 %-al növekedtek</t>
    </r>
  </si>
  <si>
    <r>
      <t xml:space="preserve">** - a </t>
    </r>
    <r>
      <rPr>
        <b/>
        <sz val="11"/>
        <rFont val="Times New Roman"/>
        <family val="1"/>
        <charset val="238"/>
      </rPr>
      <t>közvilágítás</t>
    </r>
    <r>
      <rPr>
        <sz val="11"/>
        <rFont val="Times New Roman"/>
        <family val="1"/>
        <charset val="238"/>
      </rPr>
      <t xml:space="preserve"> korszerűsítésének eredménye: a f</t>
    </r>
    <r>
      <rPr>
        <b/>
        <sz val="11"/>
        <rFont val="Times New Roman"/>
        <family val="1"/>
        <charset val="238"/>
      </rPr>
      <t>ogyasztás csökkenése</t>
    </r>
    <r>
      <rPr>
        <sz val="11"/>
        <rFont val="Times New Roman"/>
        <family val="1"/>
        <charset val="238"/>
      </rPr>
      <t xml:space="preserve"> a bázisévhez (2021) viszonyítva </t>
    </r>
    <r>
      <rPr>
        <b/>
        <sz val="11"/>
        <rFont val="Times New Roman"/>
        <family val="1"/>
        <charset val="238"/>
      </rPr>
      <t>több mint 70%.</t>
    </r>
  </si>
  <si>
    <t>Földgáz 2025. év</t>
  </si>
  <si>
    <t xml:space="preserve">Beavatkozás módja                          </t>
  </si>
  <si>
    <t xml:space="preserve">Termálvíz hőhasznostás és költsége        </t>
  </si>
  <si>
    <r>
      <t>Földgáztüzelés esetén a számított hőmennyiség</t>
    </r>
    <r>
      <rPr>
        <b/>
        <sz val="12"/>
        <rFont val="Times New Roman"/>
        <family val="1"/>
        <charset val="238"/>
      </rPr>
      <t>*</t>
    </r>
    <r>
      <rPr>
        <b/>
        <sz val="10"/>
        <rFont val="Times New Roman"/>
        <family val="1"/>
        <charset val="238"/>
      </rPr>
      <t xml:space="preserve"> és költsége                                    (6,44 Ft/MJ )</t>
    </r>
  </si>
  <si>
    <t>Megtakarítás összege  **                  nettó Ft-ban</t>
  </si>
  <si>
    <t>MJ</t>
  </si>
  <si>
    <t>Ft</t>
  </si>
  <si>
    <t xml:space="preserve">Városi Művelőd.Közp.     </t>
  </si>
  <si>
    <r>
      <t>Földgáz felhasználás csökkentése</t>
    </r>
    <r>
      <rPr>
        <b/>
        <i/>
        <sz val="11"/>
        <rFont val="Times New Roman"/>
        <family val="1"/>
        <charset val="238"/>
      </rPr>
      <t xml:space="preserve">                 </t>
    </r>
    <r>
      <rPr>
        <b/>
        <i/>
        <sz val="12"/>
        <rFont val="Times New Roman"/>
        <family val="1"/>
        <charset val="238"/>
      </rPr>
      <t>megújuló energia hasznosítással</t>
    </r>
    <r>
      <rPr>
        <sz val="10"/>
        <rFont val="Times New Roman"/>
        <family val="1"/>
        <charset val="238"/>
      </rPr>
      <t>:                              a hőenergia biztosítása -  termálvíz alapfűtés,                               szükség estén földgáz ráfűtéssel</t>
    </r>
  </si>
  <si>
    <t>Bérlők háza I.                        Bérlők háza II.                                   Bérlők háza III.</t>
  </si>
  <si>
    <r>
      <rPr>
        <b/>
        <sz val="12"/>
        <rFont val="Times New Roman"/>
        <family val="1"/>
        <charset val="238"/>
      </rPr>
      <t>*</t>
    </r>
    <r>
      <rPr>
        <b/>
        <sz val="10"/>
        <rFont val="Times New Roman"/>
        <family val="1"/>
        <charset val="238"/>
      </rPr>
      <t xml:space="preserve"> - kazánhatásfok 85 %</t>
    </r>
  </si>
  <si>
    <t>** - a termálhő ára közel 4%-al emelkedett az előző évhez viszonyítva</t>
  </si>
  <si>
    <t xml:space="preserve">           Földgáz vételezés és költségeinek alakulása</t>
  </si>
  <si>
    <t>változás ***</t>
  </si>
  <si>
    <t>Költségváltozás előző évhez viszonyítva           nettó Ft-ban</t>
  </si>
  <si>
    <r>
      <t xml:space="preserve">vételezés                           </t>
    </r>
    <r>
      <rPr>
        <b/>
        <i/>
        <sz val="11"/>
        <rFont val="Times New Roman"/>
        <family val="1"/>
        <charset val="238"/>
      </rPr>
      <t xml:space="preserve">versenypiaci, Ft alapú szerződés           </t>
    </r>
    <r>
      <rPr>
        <sz val="10"/>
        <rFont val="Times New Roman"/>
        <family val="1"/>
        <charset val="238"/>
      </rPr>
      <t xml:space="preserve">                     keretein belül, saját hatáskörben lefolytatott </t>
    </r>
    <r>
      <rPr>
        <b/>
        <i/>
        <sz val="10"/>
        <rFont val="Times New Roman"/>
        <family val="1"/>
        <charset val="238"/>
      </rPr>
      <t>közbeszerzési eljárást</t>
    </r>
    <r>
      <rPr>
        <sz val="10"/>
        <rFont val="Times New Roman"/>
        <family val="1"/>
        <charset val="238"/>
      </rPr>
      <t xml:space="preserve"> követően</t>
    </r>
  </si>
  <si>
    <r>
      <rPr>
        <b/>
        <i/>
        <sz val="10"/>
        <rFont val="Times New Roman"/>
        <family val="1"/>
        <charset val="238"/>
      </rPr>
      <t>energiadíj változása</t>
    </r>
    <r>
      <rPr>
        <b/>
        <i/>
        <sz val="12"/>
        <rFont val="Times New Roman"/>
        <family val="1"/>
        <charset val="238"/>
      </rPr>
      <t>:</t>
    </r>
    <r>
      <rPr>
        <sz val="12"/>
        <rFont val="Times New Roman"/>
        <family val="1"/>
        <charset val="238"/>
      </rPr>
      <t xml:space="preserve">  </t>
    </r>
    <r>
      <rPr>
        <b/>
        <sz val="12"/>
        <rFont val="Times New Roman"/>
        <family val="1"/>
        <charset val="238"/>
      </rPr>
      <t xml:space="preserve"> </t>
    </r>
    <r>
      <rPr>
        <sz val="14"/>
        <rFont val="Times New Roman"/>
        <family val="1"/>
        <charset val="238"/>
      </rPr>
      <t xml:space="preserve"> **</t>
    </r>
    <r>
      <rPr>
        <sz val="12"/>
        <rFont val="Times New Roman"/>
        <family val="1"/>
        <charset val="238"/>
      </rPr>
      <t xml:space="preserve">                                                                               </t>
    </r>
    <r>
      <rPr>
        <sz val="10"/>
        <rFont val="Times New Roman"/>
        <family val="1"/>
        <charset val="238"/>
      </rPr>
      <t xml:space="preserve"> előző évi gázár átlag (5,405 Ft/MJ) és tárgyévi gázár átlag                    (5,538 Ft/MJ)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tárgyévi összfogyasztás </t>
    </r>
  </si>
  <si>
    <r>
      <rPr>
        <b/>
        <i/>
        <sz val="10"/>
        <rFont val="Times New Roman"/>
        <family val="1"/>
        <charset val="238"/>
      </rPr>
      <t>RHD és adó jellegű díjak változása:</t>
    </r>
    <r>
      <rPr>
        <sz val="12"/>
        <rFont val="Times New Roman"/>
        <family val="1"/>
        <charset val="238"/>
      </rPr>
      <t xml:space="preserve">     ***                                                                   </t>
    </r>
    <r>
      <rPr>
        <sz val="10"/>
        <rFont val="Times New Roman"/>
        <family val="1"/>
        <charset val="238"/>
      </rPr>
      <t xml:space="preserve"> előző évi átlag (2,598 Ft/MJ) és tárgyévi átlag ( 1,576 Ft/MJ) 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tárgyévi összfogyasztás </t>
    </r>
  </si>
  <si>
    <t>A megújuló energiahasznosítással elért megtakarítás és  a tárgyévi költségváltozás összege:</t>
  </si>
  <si>
    <r>
      <t xml:space="preserve">**   - az </t>
    </r>
    <r>
      <rPr>
        <b/>
        <sz val="12"/>
        <rFont val="Times New Roman"/>
        <family val="1"/>
        <charset val="238"/>
      </rPr>
      <t>energiadíj</t>
    </r>
    <r>
      <rPr>
        <sz val="12"/>
        <rFont val="Times New Roman"/>
        <family val="1"/>
        <charset val="238"/>
      </rPr>
      <t xml:space="preserve"> átlagos </t>
    </r>
    <r>
      <rPr>
        <b/>
        <sz val="12"/>
        <rFont val="Times New Roman"/>
        <family val="1"/>
        <charset val="238"/>
      </rPr>
      <t xml:space="preserve">növekedése </t>
    </r>
    <r>
      <rPr>
        <sz val="12"/>
        <rFont val="Times New Roman"/>
        <family val="1"/>
        <charset val="238"/>
      </rPr>
      <t xml:space="preserve"> az előző évhez viszonyítva 2,46 %</t>
    </r>
  </si>
  <si>
    <r>
      <t xml:space="preserve">*** - az </t>
    </r>
    <r>
      <rPr>
        <b/>
        <sz val="12"/>
        <rFont val="Times New Roman"/>
        <family val="1"/>
        <charset val="238"/>
      </rPr>
      <t>RHD és adó jellegű díjak</t>
    </r>
    <r>
      <rPr>
        <sz val="12"/>
        <rFont val="Times New Roman"/>
        <family val="1"/>
        <charset val="238"/>
      </rPr>
      <t xml:space="preserve"> átlagos </t>
    </r>
    <r>
      <rPr>
        <b/>
        <sz val="12"/>
        <rFont val="Times New Roman"/>
        <family val="1"/>
        <charset val="238"/>
      </rPr>
      <t>csökkenése</t>
    </r>
    <r>
      <rPr>
        <sz val="12"/>
        <rFont val="Times New Roman"/>
        <family val="1"/>
        <charset val="238"/>
      </rPr>
      <t xml:space="preserve"> az előző évhez viszonyítva 39,33 %</t>
    </r>
  </si>
  <si>
    <t>eredeti előirányzat</t>
  </si>
  <si>
    <t>módosított előirányzat</t>
  </si>
  <si>
    <t>teljesítés</t>
  </si>
  <si>
    <t xml:space="preserve">Nyitó egyenleg  2025. 01. 01-én: </t>
  </si>
  <si>
    <t>Lorenz Group  Kft.- bírság</t>
  </si>
  <si>
    <t>Kamatbevétel</t>
  </si>
  <si>
    <t>Kiadás</t>
  </si>
  <si>
    <t xml:space="preserve">Környezetvédelmi Alap felhasználás 2025. </t>
  </si>
  <si>
    <t>Bevétel Összesen</t>
  </si>
  <si>
    <t xml:space="preserve">Bevétel </t>
  </si>
  <si>
    <t>Rigó Kft. Babafa tábla gyártása 21 db</t>
  </si>
  <si>
    <t>Bankköltség-Pénzforgalmi díj, Tranzakciós díj</t>
  </si>
  <si>
    <t>Záró egyenleg 2025. 12.31-én</t>
  </si>
  <si>
    <t>Kiadás Összesen</t>
  </si>
  <si>
    <t>Alföld Smaragd KKT- Babafa rendelés 27 db</t>
  </si>
  <si>
    <t>KiszámlázottÁFA (B406)</t>
  </si>
  <si>
    <t>Kamatbevételek (B408)</t>
  </si>
  <si>
    <t>Biztosító által fizetett kártérítés (B410)</t>
  </si>
  <si>
    <t>2025.évi költségvetési támogatása</t>
  </si>
  <si>
    <t>2025. évi Önkormányzati költségv.támog. finanszírozás eredeti eir.</t>
  </si>
  <si>
    <t>2025. évi Önkormányzati költségv.támog. finanszírozás mód.eir.</t>
  </si>
  <si>
    <t>2025. évi Önkormányzati költségv.támog. finanszírozás teljesítés (4.+5.)</t>
  </si>
  <si>
    <t>Az önkormányzat 2025. évi  bevételei</t>
  </si>
  <si>
    <t>2025. évi Maradványkimutatás</t>
  </si>
  <si>
    <t>2025. évi eredeti előirányzat e Ft</t>
  </si>
  <si>
    <t>2025.évi módosított előirányzat e Ft</t>
  </si>
  <si>
    <t>2025. évi    Teljesítés       e Ft</t>
  </si>
  <si>
    <t>2.1.1. Polgármesteri illetményhez és költségtérítéshez nyújtott támogatás</t>
  </si>
  <si>
    <t>2.1.5. Önkormányzatok rendkívüli támogatása</t>
  </si>
  <si>
    <t>2.1.6. Önkormányzati elszámolásból származó bevétel</t>
  </si>
  <si>
    <t>2.3.2. Szociális ágazati összevont pótlék és egészségügyi kiegészítő pótlék</t>
  </si>
  <si>
    <t>2.4.7.Települési önkormányzatok kulturális feladatainak bérjellegű támogatása</t>
  </si>
  <si>
    <t>2.4.8.Települési önkormányzatok könyvtári érdekeltségnövelő  támogatása</t>
  </si>
  <si>
    <t xml:space="preserve">Nemzeti Egészségbiztosítási Alapkezelő-II.sz. fogorvosi körzet feladattámogatása </t>
  </si>
  <si>
    <t>TOP-pályázatok</t>
  </si>
  <si>
    <t>Műv.Kp.-pályázatok</t>
  </si>
  <si>
    <t>„Nyári diákmunka” program keretén belül bérköltség támogatás</t>
  </si>
  <si>
    <t>2025-ben felhasznált költség (Ft)</t>
  </si>
  <si>
    <t>Közvetett támogatások 2025. évben</t>
  </si>
  <si>
    <t>2025. évi nyári diákfoglalkoztatás létszám:</t>
  </si>
  <si>
    <t>2025.évi tervezett közfoglalkoztatottak:</t>
  </si>
  <si>
    <t>2025.évi tervezett össz létszám:</t>
  </si>
  <si>
    <t>2025.évi nyári diákfoglalkoztatás létszám:</t>
  </si>
  <si>
    <t>Az önkormányzat 2025. évi költségvetési kiadásainak alakulása</t>
  </si>
  <si>
    <t>2025. évi teljesítés</t>
  </si>
  <si>
    <t>2027. évi előirányzat</t>
  </si>
  <si>
    <t>2028. évi
 előirányzat</t>
  </si>
  <si>
    <t xml:space="preserve">2025. </t>
  </si>
  <si>
    <t xml:space="preserve">2026. </t>
  </si>
  <si>
    <t xml:space="preserve">2027. </t>
  </si>
  <si>
    <t xml:space="preserve">2028. </t>
  </si>
  <si>
    <t>2025. évi költségvetésének</t>
  </si>
  <si>
    <t>2025. év eredeti előirányzat</t>
  </si>
  <si>
    <t>2025.  évi költségvetésének</t>
  </si>
  <si>
    <t>2025. módosított előirányzat</t>
  </si>
  <si>
    <t>Tervezett létszám</t>
  </si>
  <si>
    <t xml:space="preserve">Tervezett létszámváltozás </t>
  </si>
  <si>
    <t>képviselő-testületi tagok száma</t>
  </si>
  <si>
    <t>Pályaztból foglalkoztatott létszám</t>
  </si>
  <si>
    <t>2025.évi nyári diákfolglkoztatás létszám</t>
  </si>
  <si>
    <t>2025.évi tervezett közfoglalkoztatottak</t>
  </si>
  <si>
    <t>2025. évi tervezett össz létszám:</t>
  </si>
  <si>
    <t>2025.év</t>
  </si>
  <si>
    <t>2026.év</t>
  </si>
  <si>
    <t>2027.év</t>
  </si>
  <si>
    <t>2028.év</t>
  </si>
  <si>
    <t>2029.év</t>
  </si>
  <si>
    <t>2025. év terv</t>
  </si>
  <si>
    <t>2025. év tény</t>
  </si>
  <si>
    <t>TOP pályázat</t>
  </si>
  <si>
    <t>Kerékpárút építés, felújítás</t>
  </si>
  <si>
    <t>Gyermekjóléti szolg.,családsegítés, közétkeztetés</t>
  </si>
  <si>
    <t>Államigazgatási feladat</t>
  </si>
  <si>
    <t>Államigazgatási feladat összesen:</t>
  </si>
  <si>
    <t>Ingatlan korszerűsítési, vásárlási támogatások</t>
  </si>
  <si>
    <t>Labor</t>
  </si>
  <si>
    <t>1.1.1.3.1. Közvilágítás alaptámogatása</t>
  </si>
  <si>
    <t>(Szolidaritási hozzájárulás K5 összege: 474 708 e Ft)</t>
  </si>
  <si>
    <t>1. Önkormányzat</t>
  </si>
  <si>
    <t>1. Önkormányzat felújításai</t>
  </si>
  <si>
    <t>Helyi Vállalkozófejlesztési Alap felhasználása</t>
  </si>
  <si>
    <t>1. Helyi adókedvezmények</t>
  </si>
  <si>
    <t>2. A helységek eszközök hasznosításából származó kedvezmény, mentesség</t>
  </si>
  <si>
    <t>3.A lakosság részére lakásépítéshez felújításhoz nyújtott kölcsönök elengedett összege</t>
  </si>
  <si>
    <t>4. Az ellátottak térítési díjának,kártérítésének méltányossági alapon történő elengedése</t>
  </si>
  <si>
    <t>5. Egyéb nyújtott kedvezmények, vagy kölcsönök elengedésének összege</t>
  </si>
  <si>
    <t>+</t>
  </si>
  <si>
    <t>Gyümölcsös022/46</t>
  </si>
  <si>
    <t>Öntöző csatorna földterület06</t>
  </si>
  <si>
    <t>Liliom út mögötti földterület519/13</t>
  </si>
  <si>
    <t>Madách út mögötti földterület519/17</t>
  </si>
  <si>
    <t>Munkácsy úti játszópark földterület580/10</t>
  </si>
  <si>
    <t>Gazdaság melletti földút földterület709/2</t>
  </si>
  <si>
    <t>Szolnoki út melletti földterület709/65</t>
  </si>
  <si>
    <t>Juhász Gy. út melletti földterület709/77</t>
  </si>
  <si>
    <t>Szabadidőpark melletti belvízcsat fö710/20</t>
  </si>
  <si>
    <t>Műv.Közp és Mártírok út közti zöldterület796/13</t>
  </si>
  <si>
    <t>Műv.Közp és Mártírok út közti zöldterület796/15</t>
  </si>
  <si>
    <t>Volt Mártírok úti ált. isk.349/47</t>
  </si>
  <si>
    <t>Ingatlanokhoz kapcsolódó vagyoni értékű jogok</t>
  </si>
  <si>
    <t>Korlátozottan forgalomképes ingatlanokhoz kapcsolódó vagyoni értékű jogok</t>
  </si>
  <si>
    <t xml:space="preserve">Az önkormányzat által irányított költségvetési szervek </t>
  </si>
  <si>
    <t>Az önkormányzat által irányított költségvetési szervek kiemelt költségvetési kiadási előirányzat 2025. év</t>
  </si>
  <si>
    <t xml:space="preserve">Martfű Város Önkormányzata </t>
  </si>
  <si>
    <t xml:space="preserve">A működési célú bevételeinek és kiadásainak </t>
  </si>
  <si>
    <t>2025. évi  egyenlege</t>
  </si>
  <si>
    <t xml:space="preserve">Felhalmozási célú bevételeinek és kiadásainak </t>
  </si>
  <si>
    <t>Martfű Város Önkormányzata kötelező,önként vállalt és államigagatási bevételei és kiadásai intézményi bontásban</t>
  </si>
  <si>
    <t>Az Önkormányzatnál 2025-ben európai forrásból finanszírozott projektek</t>
  </si>
  <si>
    <t>Az Önkormányzat által irányított költségvetési szervek kiemelt költségvetési bevételi előirányzat 2025.év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</si>
</sst>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5" formatCode="#,##0\ &quot;Ft&quot;;\-#,##0\ &quot;Ft&quot;"/>
    <numFmt numFmtId="6" formatCode="#,##0\ &quot;Ft&quot;;[Red]\-#,##0\ &quot;Ft&quot;"/>
    <numFmt numFmtId="164" formatCode="_-* #,##0.00\ _F_t_-;\-* #,##0.00\ _F_t_-;_-* &quot;-&quot;??\ _F_t_-;_-@_-"/>
    <numFmt numFmtId="165" formatCode="_-* #,###,;\-* #,###,"/>
    <numFmt numFmtId="166" formatCode="_-* #,###,"/>
    <numFmt numFmtId="167" formatCode="0.0%"/>
    <numFmt numFmtId="168" formatCode="#,##0\ [$Ft-40E];\-#,##0\ [$Ft-40E]"/>
    <numFmt numFmtId="169" formatCode="yyyy\-mm\-dd"/>
    <numFmt numFmtId="170" formatCode="yyyy\-mm"/>
    <numFmt numFmtId="171" formatCode="#,##0&quot; MJ&quot;"/>
    <numFmt numFmtId="172" formatCode="_-* #,###,;\-* #,###,;"/>
    <numFmt numFmtId="173" formatCode="#,##0_ ;\-#,##0\ "/>
    <numFmt numFmtId="174" formatCode="#,##0&quot; kWh&quot;"/>
    <numFmt numFmtId="175" formatCode="#,##0\ &quot;Ft&quot;"/>
    <numFmt numFmtId="176" formatCode="_-* #,###,;"/>
    <numFmt numFmtId="177" formatCode="&quot; &quot;#,###,;"/>
    <numFmt numFmtId="178" formatCode="0.00&quot; Ft/kWh&quot;"/>
    <numFmt numFmtId="179" formatCode="#,##0.00000"/>
    <numFmt numFmtId="180" formatCode="#,##0&quot; m3&quot;"/>
    <numFmt numFmtId="181" formatCode="#,##0&quot; Ft&quot;"/>
    <numFmt numFmtId="182" formatCode="0.000&quot; Ft/MJ&quot;"/>
    <numFmt numFmtId="183" formatCode="0.000%"/>
    <numFmt numFmtId="184" formatCode="0_ ;\-0\ "/>
  </numFmts>
  <fonts count="142">
    <font>
      <sz val="10"/>
      <name val="Arial CE"/>
      <family val="2"/>
      <charset val="238"/>
    </font>
    <font>
      <sz val="10"/>
      <name val="Arial"/>
      <family val="2"/>
      <charset val="204"/>
    </font>
    <font>
      <sz val="12"/>
      <name val="Times New Roman"/>
      <family val="1"/>
      <charset val="238"/>
    </font>
    <font>
      <sz val="12"/>
      <name val="Times New Roman CE"/>
      <family val="1"/>
      <charset val="238"/>
    </font>
    <font>
      <b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sz val="12"/>
      <name val="Times New Roman"/>
      <family val="1"/>
      <charset val="1"/>
    </font>
    <font>
      <u/>
      <sz val="12"/>
      <name val="Times New Roman"/>
      <family val="1"/>
      <charset val="1"/>
    </font>
    <font>
      <b/>
      <sz val="16"/>
      <name val="Times New Roman"/>
      <family val="1"/>
      <charset val="1"/>
    </font>
    <font>
      <b/>
      <sz val="12"/>
      <name val="Times New Roman"/>
      <family val="1"/>
      <charset val="1"/>
    </font>
    <font>
      <sz val="12"/>
      <color rgb="FF000000"/>
      <name val="Garamond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sz val="11"/>
      <name val="Times New Roman"/>
      <family val="1"/>
      <charset val="238"/>
    </font>
    <font>
      <b/>
      <sz val="13"/>
      <name val="Garamond"/>
      <family val="1"/>
      <charset val="238"/>
    </font>
    <font>
      <b/>
      <sz val="14"/>
      <name val="Times New Roman"/>
      <family val="1"/>
      <charset val="1"/>
    </font>
    <font>
      <b/>
      <u val="double"/>
      <sz val="12"/>
      <name val="Times New Roman"/>
      <family val="1"/>
      <charset val="1"/>
    </font>
    <font>
      <b/>
      <sz val="11"/>
      <name val="Times New Roman"/>
      <family val="1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b/>
      <u/>
      <sz val="12"/>
      <name val="Times New Roman"/>
      <family val="1"/>
      <charset val="1"/>
    </font>
    <font>
      <b/>
      <u/>
      <sz val="13"/>
      <name val="Times New Roman"/>
      <family val="1"/>
      <charset val="238"/>
    </font>
    <font>
      <b/>
      <u/>
      <sz val="14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6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sz val="8"/>
      <name val="Times New Roman"/>
      <family val="1"/>
    </font>
    <font>
      <sz val="10"/>
      <color indexed="10"/>
      <name val="Times New Roman"/>
      <family val="1"/>
      <charset val="238"/>
    </font>
    <font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sz val="8"/>
      <color theme="0"/>
      <name val="Times New Roman"/>
      <family val="1"/>
      <charset val="238"/>
    </font>
    <font>
      <sz val="16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b/>
      <i/>
      <u/>
      <sz val="12"/>
      <name val="Times New Roman"/>
      <family val="1"/>
      <charset val="238"/>
    </font>
    <font>
      <sz val="11"/>
      <name val="Arial"/>
      <family val="2"/>
      <charset val="238"/>
    </font>
    <font>
      <sz val="12"/>
      <color rgb="FFFF0000"/>
      <name val="Arial"/>
      <family val="2"/>
      <charset val="238"/>
    </font>
    <font>
      <sz val="12"/>
      <color theme="0"/>
      <name val="Arial"/>
      <family val="2"/>
      <charset val="238"/>
    </font>
    <font>
      <b/>
      <u val="singleAccounting"/>
      <sz val="12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8"/>
      <name val="Arial CE"/>
      <family val="2"/>
      <charset val="238"/>
    </font>
    <font>
      <b/>
      <i/>
      <sz val="11"/>
      <color rgb="FF000000"/>
      <name val="Calibri"/>
      <family val="2"/>
      <charset val="238"/>
    </font>
    <font>
      <b/>
      <i/>
      <u/>
      <sz val="11"/>
      <color theme="1"/>
      <name val="Calibri"/>
      <family val="2"/>
      <charset val="238"/>
      <scheme val="minor"/>
    </font>
    <font>
      <b/>
      <i/>
      <u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i/>
      <u/>
      <sz val="11"/>
      <color theme="1"/>
      <name val="Calibri"/>
      <family val="2"/>
      <charset val="238"/>
      <scheme val="minor"/>
    </font>
    <font>
      <b/>
      <i/>
      <sz val="11"/>
      <name val="Calibri "/>
      <charset val="238"/>
    </font>
    <font>
      <b/>
      <i/>
      <u/>
      <sz val="11"/>
      <name val="Calibri"/>
      <family val="2"/>
      <charset val="238"/>
    </font>
    <font>
      <b/>
      <i/>
      <sz val="11"/>
      <name val="Calibri"/>
      <family val="2"/>
      <charset val="238"/>
      <scheme val="minor"/>
    </font>
    <font>
      <b/>
      <i/>
      <u/>
      <sz val="11"/>
      <name val="Calibri"/>
      <family val="2"/>
      <charset val="238"/>
      <scheme val="minor"/>
    </font>
    <font>
      <b/>
      <i/>
      <u/>
      <sz val="11"/>
      <name val="Arial"/>
      <family val="2"/>
      <charset val="238"/>
    </font>
    <font>
      <b/>
      <u/>
      <sz val="11"/>
      <name val="Arial"/>
      <family val="2"/>
      <charset val="238"/>
    </font>
    <font>
      <b/>
      <u/>
      <sz val="12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u/>
      <sz val="11"/>
      <color rgb="FF000000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b/>
      <u/>
      <sz val="11"/>
      <name val="Calibri"/>
      <family val="2"/>
      <charset val="238"/>
    </font>
    <font>
      <sz val="12"/>
      <color rgb="FFFF0000"/>
      <name val="Times New Roman"/>
      <family val="1"/>
      <charset val="238"/>
    </font>
    <font>
      <sz val="10"/>
      <color rgb="FFFF0000"/>
      <name val="Arial CE"/>
      <family val="2"/>
      <charset val="238"/>
    </font>
    <font>
      <vertAlign val="subscript"/>
      <sz val="12"/>
      <name val="Times New Roman"/>
      <family val="1"/>
    </font>
    <font>
      <sz val="12"/>
      <color rgb="FFFF0000"/>
      <name val="Arial CE"/>
      <family val="2"/>
      <charset val="238"/>
    </font>
    <font>
      <b/>
      <i/>
      <u val="singleAccounting"/>
      <sz val="12"/>
      <name val="Times New Roman"/>
      <family val="1"/>
      <charset val="238"/>
    </font>
    <font>
      <i/>
      <u val="singleAccounting"/>
      <sz val="12"/>
      <name val="Times New Roman"/>
      <family val="1"/>
      <charset val="238"/>
    </font>
    <font>
      <b/>
      <i/>
      <u/>
      <sz val="12"/>
      <name val="Arial CE"/>
      <charset val="238"/>
    </font>
    <font>
      <b/>
      <u/>
      <sz val="12"/>
      <name val="Arial CE"/>
      <family val="2"/>
      <charset val="238"/>
    </font>
    <font>
      <u val="singleAccounting"/>
      <sz val="12"/>
      <name val="Times New Roman"/>
      <family val="1"/>
      <charset val="238"/>
    </font>
    <font>
      <b/>
      <sz val="12"/>
      <name val="Arial CE"/>
      <family val="2"/>
      <charset val="238"/>
    </font>
    <font>
      <sz val="10"/>
      <color rgb="FF00B050"/>
      <name val="Arial CE"/>
      <family val="2"/>
      <charset val="238"/>
    </font>
    <font>
      <sz val="12"/>
      <color rgb="FF00B050"/>
      <name val="Times New Roman"/>
      <family val="1"/>
      <charset val="238"/>
    </font>
    <font>
      <b/>
      <sz val="10"/>
      <color rgb="FF00B050"/>
      <name val="Arial CE"/>
      <family val="2"/>
      <charset val="238"/>
    </font>
    <font>
      <b/>
      <sz val="11"/>
      <color indexed="6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4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i/>
      <sz val="10"/>
      <name val="Arial CE"/>
      <family val="2"/>
      <charset val="238"/>
    </font>
    <font>
      <b/>
      <i/>
      <sz val="12"/>
      <color rgb="FF000000"/>
      <name val="Times New Roman"/>
      <family val="1"/>
      <charset val="238"/>
    </font>
    <font>
      <i/>
      <sz val="10"/>
      <name val="Arial CE"/>
      <family val="2"/>
      <charset val="238"/>
    </font>
    <font>
      <sz val="12"/>
      <color theme="9" tint="-0.249977111117893"/>
      <name val="Arial CE"/>
      <family val="2"/>
      <charset val="238"/>
    </font>
    <font>
      <i/>
      <sz val="12"/>
      <color theme="9" tint="-0.249977111117893"/>
      <name val="Arial CE"/>
      <family val="2"/>
      <charset val="238"/>
    </font>
    <font>
      <b/>
      <i/>
      <u/>
      <sz val="12"/>
      <color theme="9" tint="0.39997558519241921"/>
      <name val="Arial CE"/>
      <family val="2"/>
      <charset val="238"/>
    </font>
    <font>
      <b/>
      <u/>
      <sz val="11"/>
      <name val="Times New Roman"/>
      <family val="1"/>
      <charset val="238"/>
    </font>
    <font>
      <u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i/>
      <u/>
      <sz val="11"/>
      <name val="Times New Roman"/>
      <family val="1"/>
      <charset val="238"/>
    </font>
    <font>
      <b/>
      <i/>
      <u/>
      <sz val="11"/>
      <name val="Times New Roman"/>
      <family val="1"/>
      <charset val="238"/>
    </font>
    <font>
      <b/>
      <u val="double"/>
      <sz val="1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0"/>
      <color rgb="FFFF0000"/>
      <name val="Arial CE"/>
      <charset val="238"/>
    </font>
    <font>
      <b/>
      <u val="singleAccounting"/>
      <sz val="11"/>
      <name val="Times New Roman"/>
      <family val="1"/>
      <charset val="238"/>
    </font>
    <font>
      <u val="singleAccounting"/>
      <sz val="11"/>
      <name val="Times New Roman"/>
      <family val="1"/>
      <charset val="238"/>
    </font>
    <font>
      <b/>
      <i/>
      <u/>
      <sz val="12"/>
      <name val="Arial CE"/>
      <family val="2"/>
      <charset val="238"/>
    </font>
    <font>
      <b/>
      <u val="singleAccounting"/>
      <sz val="11"/>
      <color rgb="FF000000"/>
      <name val="Times New Roman"/>
      <family val="1"/>
      <charset val="238"/>
    </font>
    <font>
      <sz val="11"/>
      <name val="Arial CE"/>
      <family val="2"/>
      <charset val="238"/>
    </font>
    <font>
      <b/>
      <i/>
      <sz val="11"/>
      <name val="Arial"/>
      <family val="2"/>
      <charset val="238"/>
    </font>
    <font>
      <b/>
      <i/>
      <u/>
      <sz val="11"/>
      <color theme="9" tint="-0.499984740745262"/>
      <name val="Arial"/>
      <family val="2"/>
      <charset val="238"/>
    </font>
    <font>
      <b/>
      <u/>
      <sz val="11"/>
      <name val="Arial CE"/>
      <charset val="238"/>
    </font>
    <font>
      <i/>
      <sz val="11"/>
      <name val="Calibri"/>
      <family val="2"/>
      <charset val="238"/>
      <scheme val="minor"/>
    </font>
    <font>
      <i/>
      <sz val="11"/>
      <name val="Arial"/>
      <family val="2"/>
      <charset val="238"/>
    </font>
    <font>
      <b/>
      <u/>
      <sz val="11"/>
      <color theme="9" tint="-0.499984740745262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name val="Arial CE"/>
      <charset val="238"/>
    </font>
    <font>
      <sz val="11"/>
      <color theme="9" tint="-0.249977111117893"/>
      <name val="Arial CE"/>
      <family val="2"/>
      <charset val="238"/>
    </font>
    <font>
      <i/>
      <u/>
      <sz val="11"/>
      <name val="Arial"/>
      <family val="2"/>
      <charset val="238"/>
    </font>
    <font>
      <b/>
      <i/>
      <u/>
      <sz val="11"/>
      <color theme="9" tint="-0.249977111117893"/>
      <name val="Arial"/>
      <family val="2"/>
      <charset val="238"/>
    </font>
    <font>
      <u/>
      <sz val="12"/>
      <color rgb="FF000000"/>
      <name val="Calibri"/>
      <family val="2"/>
      <charset val="238"/>
    </font>
    <font>
      <b/>
      <u/>
      <sz val="12"/>
      <name val="Calibri"/>
      <family val="2"/>
      <charset val="238"/>
    </font>
    <font>
      <b/>
      <i/>
      <u/>
      <sz val="11"/>
      <color theme="9" tint="-0.499984740745262"/>
      <name val="Calibri"/>
      <family val="2"/>
      <charset val="238"/>
    </font>
  </fonts>
  <fills count="44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0C0C0"/>
        <bgColor rgb="FFBFBFBF"/>
      </patternFill>
    </fill>
    <fill>
      <patternFill patternType="solid">
        <fgColor rgb="FFFFFFFF"/>
        <bgColor rgb="FFFFFFCC"/>
      </patternFill>
    </fill>
    <fill>
      <patternFill patternType="solid">
        <fgColor rgb="FFFFCC00"/>
        <bgColor rgb="FFFFFF00"/>
      </patternFill>
    </fill>
    <fill>
      <patternFill patternType="solid">
        <fgColor rgb="FF99CC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99CCFF"/>
        <bgColor rgb="FFCCCCFF"/>
      </patternFill>
    </fill>
    <fill>
      <patternFill patternType="solid">
        <fgColor rgb="FFCCCCFF"/>
        <bgColor rgb="FFD9D9D9"/>
      </patternFill>
    </fill>
    <fill>
      <patternFill patternType="solid">
        <fgColor rgb="FFFF66CC"/>
        <bgColor rgb="FFFF99CC"/>
      </patternFill>
    </fill>
    <fill>
      <patternFill patternType="solid">
        <fgColor rgb="FFFF99CC"/>
        <bgColor rgb="FFFF66CC"/>
      </patternFill>
    </fill>
    <fill>
      <patternFill patternType="solid">
        <fgColor rgb="FFFF9900"/>
        <bgColor rgb="FFFFCC0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CCFFCC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9" tint="0.39997558519241921"/>
        <bgColor rgb="FFCCCCFF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7"/>
        <bgColor indexed="64"/>
      </patternFill>
    </fill>
    <fill>
      <patternFill patternType="solid">
        <fgColor rgb="FFCCCCFF"/>
        <bgColor rgb="FFCCCCFF"/>
      </patternFill>
    </fill>
  </fills>
  <borders count="2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indexed="8"/>
      </left>
      <right/>
      <top style="thin">
        <color indexed="8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ck">
        <color auto="1"/>
      </top>
      <bottom style="double">
        <color auto="1"/>
      </bottom>
      <diagonal/>
    </border>
    <border>
      <left/>
      <right/>
      <top style="thick">
        <color auto="1"/>
      </top>
      <bottom style="double">
        <color auto="1"/>
      </bottom>
      <diagonal/>
    </border>
    <border>
      <left/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8">
    <xf numFmtId="0" fontId="0" fillId="0" borderId="0"/>
    <xf numFmtId="9" fontId="50" fillId="0" borderId="0" applyBorder="0" applyProtection="0"/>
    <xf numFmtId="0" fontId="1" fillId="0" borderId="0"/>
    <xf numFmtId="0" fontId="51" fillId="0" borderId="0"/>
    <xf numFmtId="0" fontId="55" fillId="0" borderId="0"/>
    <xf numFmtId="0" fontId="60" fillId="0" borderId="0"/>
    <xf numFmtId="164" fontId="50" fillId="0" borderId="0" applyFont="0" applyFill="0" applyBorder="0" applyAlignment="0" applyProtection="0"/>
    <xf numFmtId="0" fontId="66" fillId="0" borderId="0"/>
  </cellStyleXfs>
  <cellXfs count="2618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165" fontId="2" fillId="0" borderId="0" xfId="0" applyNumberFormat="1" applyFont="1"/>
    <xf numFmtId="165" fontId="2" fillId="0" borderId="0" xfId="0" applyNumberFormat="1" applyFont="1" applyBorder="1"/>
    <xf numFmtId="3" fontId="2" fillId="0" borderId="0" xfId="0" applyNumberFormat="1" applyFont="1"/>
    <xf numFmtId="0" fontId="2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/>
    <xf numFmtId="0" fontId="2" fillId="0" borderId="0" xfId="0" applyFont="1" applyBorder="1"/>
    <xf numFmtId="0" fontId="2" fillId="0" borderId="0" xfId="0" applyFont="1" applyAlignment="1">
      <alignment horizontal="left" indent="1"/>
    </xf>
    <xf numFmtId="0" fontId="6" fillId="0" borderId="0" xfId="0" applyFont="1" applyAlignment="1">
      <alignment horizontal="right"/>
    </xf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vertical="center" wrapText="1"/>
    </xf>
    <xf numFmtId="49" fontId="2" fillId="0" borderId="0" xfId="0" applyNumberFormat="1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5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/>
    </xf>
    <xf numFmtId="0" fontId="2" fillId="0" borderId="9" xfId="0" applyFont="1" applyBorder="1" applyAlignment="1">
      <alignment horizontal="left" vertical="center"/>
    </xf>
    <xf numFmtId="165" fontId="14" fillId="0" borderId="8" xfId="0" applyNumberFormat="1" applyFont="1" applyBorder="1" applyAlignment="1">
      <alignment horizontal="center" vertical="center"/>
    </xf>
    <xf numFmtId="165" fontId="14" fillId="0" borderId="8" xfId="0" applyNumberFormat="1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right" vertical="center"/>
    </xf>
    <xf numFmtId="165" fontId="5" fillId="0" borderId="8" xfId="0" applyNumberFormat="1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3" fontId="11" fillId="0" borderId="0" xfId="0" applyNumberFormat="1" applyFont="1" applyBorder="1" applyAlignment="1">
      <alignment vertical="center"/>
    </xf>
    <xf numFmtId="0" fontId="2" fillId="0" borderId="8" xfId="0" applyFont="1" applyBorder="1"/>
    <xf numFmtId="0" fontId="15" fillId="0" borderId="8" xfId="0" applyFont="1" applyBorder="1" applyAlignment="1">
      <alignment horizontal="center" vertical="top"/>
    </xf>
    <xf numFmtId="0" fontId="15" fillId="0" borderId="9" xfId="0" applyFont="1" applyBorder="1" applyAlignment="1">
      <alignment horizontal="center"/>
    </xf>
    <xf numFmtId="165" fontId="2" fillId="0" borderId="9" xfId="0" applyNumberFormat="1" applyFont="1" applyBorder="1" applyAlignment="1">
      <alignment horizontal="right" vertical="center"/>
    </xf>
    <xf numFmtId="165" fontId="14" fillId="0" borderId="9" xfId="0" applyNumberFormat="1" applyFont="1" applyBorder="1" applyAlignment="1">
      <alignment horizontal="right" vertical="center"/>
    </xf>
    <xf numFmtId="165" fontId="14" fillId="0" borderId="12" xfId="0" applyNumberFormat="1" applyFont="1" applyBorder="1" applyAlignment="1">
      <alignment horizontal="right" vertical="center"/>
    </xf>
    <xf numFmtId="165" fontId="2" fillId="0" borderId="12" xfId="0" applyNumberFormat="1" applyFont="1" applyBorder="1" applyAlignment="1">
      <alignment horizontal="right" vertical="center"/>
    </xf>
    <xf numFmtId="3" fontId="11" fillId="0" borderId="0" xfId="0" applyNumberFormat="1" applyFont="1" applyAlignment="1">
      <alignment vertical="center"/>
    </xf>
    <xf numFmtId="165" fontId="0" fillId="0" borderId="0" xfId="0" applyNumberFormat="1"/>
    <xf numFmtId="165" fontId="11" fillId="0" borderId="8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3" fontId="14" fillId="0" borderId="0" xfId="0" applyNumberFormat="1" applyFont="1" applyBorder="1" applyAlignment="1">
      <alignment vertical="center"/>
    </xf>
    <xf numFmtId="0" fontId="2" fillId="0" borderId="9" xfId="0" applyFont="1" applyBorder="1"/>
    <xf numFmtId="165" fontId="14" fillId="0" borderId="9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0" fontId="17" fillId="0" borderId="13" xfId="0" applyFont="1" applyBorder="1" applyAlignment="1">
      <alignment horizontal="center"/>
    </xf>
    <xf numFmtId="49" fontId="5" fillId="0" borderId="13" xfId="0" applyNumberFormat="1" applyFont="1" applyBorder="1" applyAlignment="1">
      <alignment vertical="center"/>
    </xf>
    <xf numFmtId="165" fontId="14" fillId="0" borderId="13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2" applyFont="1"/>
    <xf numFmtId="10" fontId="2" fillId="0" borderId="0" xfId="2" applyNumberFormat="1" applyFont="1" applyBorder="1"/>
    <xf numFmtId="0" fontId="19" fillId="0" borderId="0" xfId="2" applyFont="1" applyBorder="1"/>
    <xf numFmtId="0" fontId="4" fillId="0" borderId="0" xfId="2" applyFont="1" applyAlignment="1">
      <alignment horizontal="center"/>
    </xf>
    <xf numFmtId="10" fontId="4" fillId="0" borderId="0" xfId="2" applyNumberFormat="1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2" fillId="0" borderId="0" xfId="0" applyFont="1" applyAlignment="1">
      <alignment horizontal="right"/>
    </xf>
    <xf numFmtId="10" fontId="5" fillId="0" borderId="1" xfId="2" applyNumberFormat="1" applyFont="1" applyBorder="1" applyAlignment="1">
      <alignment horizontal="center" vertical="center" wrapText="1"/>
    </xf>
    <xf numFmtId="0" fontId="20" fillId="0" borderId="0" xfId="2" applyFont="1" applyBorder="1" applyAlignment="1">
      <alignment horizontal="center" vertical="center" wrapText="1"/>
    </xf>
    <xf numFmtId="0" fontId="2" fillId="0" borderId="0" xfId="2" applyFont="1" applyBorder="1"/>
    <xf numFmtId="3" fontId="19" fillId="0" borderId="0" xfId="2" applyNumberFormat="1" applyFont="1" applyBorder="1"/>
    <xf numFmtId="49" fontId="2" fillId="0" borderId="0" xfId="2" applyNumberFormat="1" applyFont="1" applyBorder="1"/>
    <xf numFmtId="0" fontId="21" fillId="0" borderId="0" xfId="2" applyFont="1" applyBorder="1"/>
    <xf numFmtId="10" fontId="5" fillId="0" borderId="0" xfId="2" applyNumberFormat="1" applyFont="1" applyBorder="1"/>
    <xf numFmtId="0" fontId="20" fillId="0" borderId="0" xfId="2" applyFont="1" applyBorder="1"/>
    <xf numFmtId="0" fontId="19" fillId="0" borderId="0" xfId="2" applyFont="1" applyBorder="1" applyAlignment="1">
      <alignment horizontal="center"/>
    </xf>
    <xf numFmtId="49" fontId="21" fillId="0" borderId="0" xfId="2" applyNumberFormat="1" applyFont="1" applyBorder="1"/>
    <xf numFmtId="0" fontId="5" fillId="0" borderId="0" xfId="2" applyFont="1" applyBorder="1" applyAlignment="1">
      <alignment horizontal="right"/>
    </xf>
    <xf numFmtId="10" fontId="5" fillId="0" borderId="1" xfId="2" applyNumberFormat="1" applyFont="1" applyBorder="1"/>
    <xf numFmtId="0" fontId="6" fillId="0" borderId="0" xfId="2" applyFont="1" applyBorder="1"/>
    <xf numFmtId="49" fontId="6" fillId="0" borderId="0" xfId="2" applyNumberFormat="1" applyFont="1" applyBorder="1"/>
    <xf numFmtId="49" fontId="5" fillId="0" borderId="0" xfId="0" applyNumberFormat="1" applyFont="1"/>
    <xf numFmtId="3" fontId="22" fillId="0" borderId="0" xfId="2" applyNumberFormat="1" applyFont="1" applyBorder="1"/>
    <xf numFmtId="0" fontId="12" fillId="0" borderId="0" xfId="0" applyFont="1"/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1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Border="1"/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1" fillId="0" borderId="6" xfId="0" applyFont="1" applyBorder="1"/>
    <xf numFmtId="0" fontId="11" fillId="0" borderId="8" xfId="0" applyFont="1" applyBorder="1"/>
    <xf numFmtId="0" fontId="11" fillId="0" borderId="18" xfId="0" applyFont="1" applyBorder="1"/>
    <xf numFmtId="3" fontId="11" fillId="0" borderId="0" xfId="0" applyNumberFormat="1" applyFont="1" applyBorder="1"/>
    <xf numFmtId="0" fontId="11" fillId="0" borderId="8" xfId="0" applyFont="1" applyBorder="1" applyAlignment="1">
      <alignment vertical="center"/>
    </xf>
    <xf numFmtId="0" fontId="11" fillId="0" borderId="10" xfId="0" applyFont="1" applyBorder="1"/>
    <xf numFmtId="0" fontId="11" fillId="0" borderId="19" xfId="0" applyFont="1" applyBorder="1"/>
    <xf numFmtId="0" fontId="11" fillId="0" borderId="2" xfId="0" applyFont="1" applyBorder="1"/>
    <xf numFmtId="0" fontId="11" fillId="0" borderId="21" xfId="0" applyFont="1" applyBorder="1"/>
    <xf numFmtId="0" fontId="11" fillId="0" borderId="1" xfId="0" applyFont="1" applyBorder="1"/>
    <xf numFmtId="0" fontId="11" fillId="0" borderId="25" xfId="0" applyFont="1" applyBorder="1" applyAlignment="1">
      <alignment vertical="center"/>
    </xf>
    <xf numFmtId="0" fontId="24" fillId="3" borderId="21" xfId="0" applyFont="1" applyFill="1" applyBorder="1" applyAlignment="1">
      <alignment vertical="center"/>
    </xf>
    <xf numFmtId="165" fontId="14" fillId="3" borderId="21" xfId="0" applyNumberFormat="1" applyFont="1" applyFill="1" applyBorder="1"/>
    <xf numFmtId="0" fontId="11" fillId="3" borderId="26" xfId="0" applyFont="1" applyFill="1" applyBorder="1" applyAlignment="1">
      <alignment vertical="center"/>
    </xf>
    <xf numFmtId="165" fontId="14" fillId="3" borderId="22" xfId="0" applyNumberFormat="1" applyFont="1" applyFill="1" applyBorder="1"/>
    <xf numFmtId="0" fontId="14" fillId="0" borderId="0" xfId="0" applyFont="1" applyBorder="1"/>
    <xf numFmtId="0" fontId="14" fillId="0" borderId="0" xfId="0" applyFont="1"/>
    <xf numFmtId="0" fontId="21" fillId="0" borderId="0" xfId="0" applyFont="1"/>
    <xf numFmtId="0" fontId="2" fillId="0" borderId="0" xfId="2" applyFont="1" applyAlignment="1">
      <alignment vertical="center"/>
    </xf>
    <xf numFmtId="0" fontId="0" fillId="0" borderId="0" xfId="0" applyFont="1"/>
    <xf numFmtId="0" fontId="26" fillId="0" borderId="0" xfId="0" applyFont="1"/>
    <xf numFmtId="0" fontId="5" fillId="0" borderId="0" xfId="2" applyFont="1" applyBorder="1" applyAlignment="1">
      <alignment horizontal="right" vertical="center"/>
    </xf>
    <xf numFmtId="0" fontId="6" fillId="0" borderId="0" xfId="2" applyFont="1" applyBorder="1" applyAlignment="1">
      <alignment horizontal="left" vertical="center"/>
    </xf>
    <xf numFmtId="0" fontId="27" fillId="0" borderId="0" xfId="0" applyFont="1"/>
    <xf numFmtId="0" fontId="5" fillId="0" borderId="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16" xfId="0" applyFont="1" applyBorder="1"/>
    <xf numFmtId="0" fontId="9" fillId="0" borderId="16" xfId="0" applyFont="1" applyBorder="1" applyAlignment="1">
      <alignment horizontal="center"/>
    </xf>
    <xf numFmtId="0" fontId="9" fillId="0" borderId="8" xfId="0" applyFont="1" applyBorder="1"/>
    <xf numFmtId="3" fontId="2" fillId="0" borderId="8" xfId="0" applyNumberFormat="1" applyFont="1" applyBorder="1"/>
    <xf numFmtId="0" fontId="9" fillId="0" borderId="8" xfId="0" applyFont="1" applyBorder="1" applyAlignment="1">
      <alignment horizontal="center"/>
    </xf>
    <xf numFmtId="10" fontId="2" fillId="0" borderId="8" xfId="0" applyNumberFormat="1" applyFont="1" applyBorder="1"/>
    <xf numFmtId="0" fontId="9" fillId="0" borderId="20" xfId="0" applyFont="1" applyBorder="1"/>
    <xf numFmtId="0" fontId="5" fillId="0" borderId="20" xfId="0" applyFont="1" applyBorder="1" applyAlignment="1">
      <alignment horizontal="left"/>
    </xf>
    <xf numFmtId="3" fontId="5" fillId="0" borderId="20" xfId="0" applyNumberFormat="1" applyFont="1" applyBorder="1"/>
    <xf numFmtId="10" fontId="5" fillId="0" borderId="20" xfId="0" applyNumberFormat="1" applyFont="1" applyBorder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8" fillId="0" borderId="0" xfId="0" applyFont="1" applyAlignment="1">
      <alignment vertical="top"/>
    </xf>
    <xf numFmtId="0" fontId="2" fillId="0" borderId="31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3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4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31" xfId="0" applyFont="1" applyBorder="1" applyAlignment="1">
      <alignment horizontal="right" vertical="center" wrapText="1"/>
    </xf>
    <xf numFmtId="0" fontId="2" fillId="0" borderId="23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2" fillId="0" borderId="34" xfId="0" applyFont="1" applyBorder="1" applyAlignment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6" fillId="0" borderId="49" xfId="0" applyFont="1" applyBorder="1" applyAlignment="1">
      <alignment horizontal="left" vertical="center"/>
    </xf>
    <xf numFmtId="0" fontId="6" fillId="0" borderId="50" xfId="0" applyFont="1" applyBorder="1" applyAlignment="1">
      <alignment horizontal="left" vertical="center"/>
    </xf>
    <xf numFmtId="0" fontId="5" fillId="0" borderId="36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2" fillId="0" borderId="29" xfId="0" applyFont="1" applyBorder="1"/>
    <xf numFmtId="0" fontId="2" fillId="0" borderId="54" xfId="0" applyFont="1" applyBorder="1" applyAlignment="1">
      <alignment vertical="center" wrapText="1"/>
    </xf>
    <xf numFmtId="0" fontId="2" fillId="0" borderId="34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8" xfId="0" applyFont="1" applyBorder="1"/>
    <xf numFmtId="0" fontId="5" fillId="0" borderId="13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/>
    </xf>
    <xf numFmtId="165" fontId="2" fillId="0" borderId="16" xfId="0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0" fontId="2" fillId="0" borderId="62" xfId="0" applyNumberFormat="1" applyFont="1" applyBorder="1"/>
    <xf numFmtId="0" fontId="2" fillId="0" borderId="63" xfId="0" applyFont="1" applyBorder="1" applyAlignment="1">
      <alignment horizontal="center"/>
    </xf>
    <xf numFmtId="165" fontId="2" fillId="0" borderId="8" xfId="0" applyNumberFormat="1" applyFont="1" applyBorder="1"/>
    <xf numFmtId="165" fontId="2" fillId="0" borderId="10" xfId="0" applyNumberFormat="1" applyFont="1" applyBorder="1"/>
    <xf numFmtId="0" fontId="2" fillId="0" borderId="64" xfId="0" applyFont="1" applyBorder="1" applyAlignment="1"/>
    <xf numFmtId="0" fontId="2" fillId="0" borderId="8" xfId="0" applyFont="1" applyBorder="1" applyAlignment="1"/>
    <xf numFmtId="165" fontId="2" fillId="0" borderId="6" xfId="0" applyNumberFormat="1" applyFont="1" applyBorder="1"/>
    <xf numFmtId="0" fontId="2" fillId="0" borderId="6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5" fontId="5" fillId="0" borderId="8" xfId="0" applyNumberFormat="1" applyFont="1" applyBorder="1"/>
    <xf numFmtId="10" fontId="5" fillId="0" borderId="62" xfId="0" applyNumberFormat="1" applyFont="1" applyBorder="1"/>
    <xf numFmtId="0" fontId="5" fillId="0" borderId="65" xfId="0" applyFont="1" applyBorder="1" applyAlignment="1">
      <alignment horizontal="center"/>
    </xf>
    <xf numFmtId="0" fontId="2" fillId="0" borderId="66" xfId="0" applyFont="1" applyBorder="1"/>
    <xf numFmtId="0" fontId="5" fillId="0" borderId="66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0" fontId="2" fillId="0" borderId="71" xfId="0" applyNumberFormat="1" applyFont="1" applyBorder="1"/>
    <xf numFmtId="10" fontId="2" fillId="0" borderId="72" xfId="0" applyNumberFormat="1" applyFont="1" applyBorder="1"/>
    <xf numFmtId="165" fontId="5" fillId="0" borderId="20" xfId="0" applyNumberFormat="1" applyFont="1" applyBorder="1"/>
    <xf numFmtId="0" fontId="2" fillId="0" borderId="10" xfId="0" applyFont="1" applyBorder="1"/>
    <xf numFmtId="0" fontId="2" fillId="0" borderId="75" xfId="0" applyFont="1" applyBorder="1" applyAlignment="1">
      <alignment horizontal="center"/>
    </xf>
    <xf numFmtId="0" fontId="2" fillId="0" borderId="11" xfId="0" applyFont="1" applyBorder="1"/>
    <xf numFmtId="10" fontId="2" fillId="0" borderId="15" xfId="0" applyNumberFormat="1" applyFont="1" applyBorder="1"/>
    <xf numFmtId="3" fontId="2" fillId="0" borderId="16" xfId="0" applyNumberFormat="1" applyFont="1" applyBorder="1"/>
    <xf numFmtId="3" fontId="2" fillId="0" borderId="10" xfId="0" applyNumberFormat="1" applyFont="1" applyBorder="1"/>
    <xf numFmtId="0" fontId="12" fillId="0" borderId="0" xfId="0" applyFont="1" applyAlignment="1">
      <alignment horizontal="righ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right" vertical="center"/>
    </xf>
    <xf numFmtId="165" fontId="4" fillId="0" borderId="0" xfId="0" applyNumberFormat="1" applyFont="1" applyAlignment="1">
      <alignment horizontal="center"/>
    </xf>
    <xf numFmtId="0" fontId="29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right" indent="1"/>
    </xf>
    <xf numFmtId="0" fontId="5" fillId="0" borderId="0" xfId="0" applyFont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0" fillId="0" borderId="3" xfId="0" applyFont="1" applyBorder="1"/>
    <xf numFmtId="0" fontId="27" fillId="7" borderId="0" xfId="0" applyFont="1" applyFill="1" applyAlignment="1">
      <alignment horizontal="right"/>
    </xf>
    <xf numFmtId="0" fontId="0" fillId="0" borderId="31" xfId="0" applyFont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/>
    </xf>
    <xf numFmtId="0" fontId="27" fillId="5" borderId="71" xfId="0" applyFont="1" applyFill="1" applyBorder="1" applyAlignment="1">
      <alignment horizontal="center" vertical="center" wrapText="1"/>
    </xf>
    <xf numFmtId="0" fontId="27" fillId="6" borderId="23" xfId="0" applyFont="1" applyFill="1" applyBorder="1" applyAlignment="1">
      <alignment horizontal="center" vertical="center" wrapText="1"/>
    </xf>
    <xf numFmtId="0" fontId="0" fillId="4" borderId="64" xfId="0" applyFont="1" applyFill="1" applyBorder="1"/>
    <xf numFmtId="0" fontId="0" fillId="4" borderId="8" xfId="0" applyFont="1" applyFill="1" applyBorder="1"/>
    <xf numFmtId="0" fontId="0" fillId="4" borderId="10" xfId="0" applyFont="1" applyFill="1" applyBorder="1"/>
    <xf numFmtId="166" fontId="0" fillId="4" borderId="64" xfId="0" applyNumberFormat="1" applyFont="1" applyFill="1" applyBorder="1"/>
    <xf numFmtId="166" fontId="0" fillId="4" borderId="8" xfId="0" applyNumberFormat="1" applyFont="1" applyFill="1" applyBorder="1"/>
    <xf numFmtId="166" fontId="0" fillId="4" borderId="19" xfId="0" applyNumberFormat="1" applyFont="1" applyFill="1" applyBorder="1"/>
    <xf numFmtId="0" fontId="0" fillId="10" borderId="36" xfId="0" applyFont="1" applyFill="1" applyBorder="1"/>
    <xf numFmtId="0" fontId="27" fillId="10" borderId="10" xfId="0" applyFont="1" applyFill="1" applyBorder="1" applyAlignment="1">
      <alignment wrapText="1"/>
    </xf>
    <xf numFmtId="166" fontId="0" fillId="10" borderId="64" xfId="0" applyNumberFormat="1" applyFont="1" applyFill="1" applyBorder="1"/>
    <xf numFmtId="166" fontId="0" fillId="10" borderId="8" xfId="0" applyNumberFormat="1" applyFont="1" applyFill="1" applyBorder="1"/>
    <xf numFmtId="166" fontId="0" fillId="10" borderId="19" xfId="0" applyNumberFormat="1" applyFont="1" applyFill="1" applyBorder="1"/>
    <xf numFmtId="0" fontId="0" fillId="11" borderId="53" xfId="0" applyFont="1" applyFill="1" applyBorder="1" applyAlignment="1">
      <alignment vertical="center"/>
    </xf>
    <xf numFmtId="0" fontId="0" fillId="11" borderId="10" xfId="0" applyFont="1" applyFill="1" applyBorder="1" applyAlignment="1">
      <alignment wrapText="1"/>
    </xf>
    <xf numFmtId="166" fontId="0" fillId="11" borderId="62" xfId="0" applyNumberFormat="1" applyFont="1" applyFill="1" applyBorder="1" applyAlignment="1">
      <alignment vertical="center"/>
    </xf>
    <xf numFmtId="166" fontId="0" fillId="11" borderId="64" xfId="0" applyNumberFormat="1" applyFont="1" applyFill="1" applyBorder="1" applyAlignment="1">
      <alignment vertical="center"/>
    </xf>
    <xf numFmtId="166" fontId="0" fillId="11" borderId="8" xfId="0" applyNumberFormat="1" applyFont="1" applyFill="1" applyBorder="1" applyAlignment="1">
      <alignment vertical="center"/>
    </xf>
    <xf numFmtId="166" fontId="0" fillId="11" borderId="19" xfId="0" applyNumberFormat="1" applyFont="1" applyFill="1" applyBorder="1" applyAlignment="1">
      <alignment vertical="center"/>
    </xf>
    <xf numFmtId="0" fontId="27" fillId="10" borderId="10" xfId="0" applyFont="1" applyFill="1" applyBorder="1" applyAlignment="1">
      <alignment horizontal="right" wrapText="1"/>
    </xf>
    <xf numFmtId="166" fontId="0" fillId="10" borderId="62" xfId="0" applyNumberFormat="1" applyFont="1" applyFill="1" applyBorder="1" applyAlignment="1">
      <alignment vertical="center"/>
    </xf>
    <xf numFmtId="166" fontId="0" fillId="10" borderId="19" xfId="0" applyNumberFormat="1" applyFont="1" applyFill="1" applyBorder="1" applyAlignment="1">
      <alignment vertical="center"/>
    </xf>
    <xf numFmtId="166" fontId="0" fillId="10" borderId="8" xfId="0" applyNumberFormat="1" applyFont="1" applyFill="1" applyBorder="1" applyAlignment="1">
      <alignment vertical="center"/>
    </xf>
    <xf numFmtId="0" fontId="0" fillId="10" borderId="34" xfId="0" applyFont="1" applyFill="1" applyBorder="1"/>
    <xf numFmtId="166" fontId="27" fillId="10" borderId="19" xfId="0" applyNumberFormat="1" applyFont="1" applyFill="1" applyBorder="1"/>
    <xf numFmtId="0" fontId="0" fillId="11" borderId="34" xfId="0" applyFont="1" applyFill="1" applyBorder="1"/>
    <xf numFmtId="166" fontId="0" fillId="11" borderId="64" xfId="0" applyNumberFormat="1" applyFont="1" applyFill="1" applyBorder="1"/>
    <xf numFmtId="166" fontId="0" fillId="11" borderId="8" xfId="0" applyNumberFormat="1" applyFont="1" applyFill="1" applyBorder="1"/>
    <xf numFmtId="166" fontId="0" fillId="11" borderId="19" xfId="0" applyNumberFormat="1" applyFont="1" applyFill="1" applyBorder="1"/>
    <xf numFmtId="0" fontId="27" fillId="10" borderId="34" xfId="0" applyFont="1" applyFill="1" applyBorder="1"/>
    <xf numFmtId="166" fontId="27" fillId="10" borderId="62" xfId="0" applyNumberFormat="1" applyFont="1" applyFill="1" applyBorder="1"/>
    <xf numFmtId="166" fontId="27" fillId="10" borderId="8" xfId="0" applyNumberFormat="1" applyFont="1" applyFill="1" applyBorder="1"/>
    <xf numFmtId="166" fontId="27" fillId="4" borderId="19" xfId="0" applyNumberFormat="1" applyFont="1" applyFill="1" applyBorder="1"/>
    <xf numFmtId="0" fontId="27" fillId="0" borderId="35" xfId="0" applyFont="1" applyBorder="1"/>
    <xf numFmtId="0" fontId="0" fillId="12" borderId="53" xfId="0" applyFont="1" applyFill="1" applyBorder="1"/>
    <xf numFmtId="0" fontId="27" fillId="12" borderId="10" xfId="0" applyFont="1" applyFill="1" applyBorder="1" applyAlignment="1">
      <alignment wrapText="1"/>
    </xf>
    <xf numFmtId="166" fontId="0" fillId="12" borderId="64" xfId="0" applyNumberFormat="1" applyFont="1" applyFill="1" applyBorder="1"/>
    <xf numFmtId="166" fontId="0" fillId="12" borderId="8" xfId="0" applyNumberFormat="1" applyFont="1" applyFill="1" applyBorder="1"/>
    <xf numFmtId="166" fontId="27" fillId="12" borderId="19" xfId="0" applyNumberFormat="1" applyFont="1" applyFill="1" applyBorder="1"/>
    <xf numFmtId="0" fontId="0" fillId="5" borderId="53" xfId="0" applyFont="1" applyFill="1" applyBorder="1"/>
    <xf numFmtId="0" fontId="0" fillId="5" borderId="10" xfId="0" applyFont="1" applyFill="1" applyBorder="1" applyAlignment="1">
      <alignment wrapText="1"/>
    </xf>
    <xf numFmtId="166" fontId="0" fillId="5" borderId="62" xfId="0" applyNumberFormat="1" applyFont="1" applyFill="1" applyBorder="1" applyAlignment="1">
      <alignment vertical="center"/>
    </xf>
    <xf numFmtId="166" fontId="0" fillId="5" borderId="64" xfId="0" applyNumberFormat="1" applyFont="1" applyFill="1" applyBorder="1" applyAlignment="1">
      <alignment vertical="center"/>
    </xf>
    <xf numFmtId="166" fontId="0" fillId="5" borderId="8" xfId="0" applyNumberFormat="1" applyFont="1" applyFill="1" applyBorder="1" applyAlignment="1">
      <alignment vertical="center"/>
    </xf>
    <xf numFmtId="165" fontId="0" fillId="5" borderId="8" xfId="0" applyNumberFormat="1" applyFont="1" applyFill="1" applyBorder="1" applyAlignment="1">
      <alignment vertical="center"/>
    </xf>
    <xf numFmtId="166" fontId="0" fillId="5" borderId="19" xfId="0" applyNumberFormat="1" applyFont="1" applyFill="1" applyBorder="1" applyAlignment="1">
      <alignment vertical="center"/>
    </xf>
    <xf numFmtId="0" fontId="27" fillId="12" borderId="10" xfId="0" applyFont="1" applyFill="1" applyBorder="1" applyAlignment="1">
      <alignment horizontal="right" wrapText="1"/>
    </xf>
    <xf numFmtId="166" fontId="0" fillId="12" borderId="62" xfId="0" applyNumberFormat="1" applyFont="1" applyFill="1" applyBorder="1"/>
    <xf numFmtId="166" fontId="0" fillId="12" borderId="19" xfId="0" applyNumberFormat="1" applyFont="1" applyFill="1" applyBorder="1"/>
    <xf numFmtId="0" fontId="0" fillId="5" borderId="10" xfId="0" applyFont="1" applyFill="1" applyBorder="1"/>
    <xf numFmtId="166" fontId="0" fillId="5" borderId="62" xfId="0" applyNumberFormat="1" applyFont="1" applyFill="1" applyBorder="1"/>
    <xf numFmtId="166" fontId="0" fillId="5" borderId="64" xfId="0" applyNumberFormat="1" applyFont="1" applyFill="1" applyBorder="1"/>
    <xf numFmtId="166" fontId="0" fillId="5" borderId="8" xfId="0" applyNumberFormat="1" applyFont="1" applyFill="1" applyBorder="1"/>
    <xf numFmtId="166" fontId="0" fillId="5" borderId="19" xfId="0" applyNumberFormat="1" applyFont="1" applyFill="1" applyBorder="1"/>
    <xf numFmtId="166" fontId="0" fillId="5" borderId="10" xfId="0" applyNumberFormat="1" applyFont="1" applyFill="1" applyBorder="1"/>
    <xf numFmtId="0" fontId="0" fillId="12" borderId="34" xfId="0" applyFont="1" applyFill="1" applyBorder="1"/>
    <xf numFmtId="166" fontId="0" fillId="12" borderId="10" xfId="0" applyNumberFormat="1" applyFont="1" applyFill="1" applyBorder="1"/>
    <xf numFmtId="0" fontId="27" fillId="12" borderId="34" xfId="0" applyFont="1" applyFill="1" applyBorder="1"/>
    <xf numFmtId="0" fontId="27" fillId="12" borderId="10" xfId="0" applyFont="1" applyFill="1" applyBorder="1"/>
    <xf numFmtId="166" fontId="27" fillId="12" borderId="62" xfId="0" applyNumberFormat="1" applyFont="1" applyFill="1" applyBorder="1"/>
    <xf numFmtId="166" fontId="27" fillId="12" borderId="10" xfId="0" applyNumberFormat="1" applyFont="1" applyFill="1" applyBorder="1"/>
    <xf numFmtId="166" fontId="27" fillId="12" borderId="8" xfId="0" applyNumberFormat="1" applyFont="1" applyFill="1" applyBorder="1"/>
    <xf numFmtId="0" fontId="0" fillId="4" borderId="19" xfId="0" applyFont="1" applyFill="1" applyBorder="1"/>
    <xf numFmtId="0" fontId="0" fillId="13" borderId="53" xfId="0" applyFont="1" applyFill="1" applyBorder="1"/>
    <xf numFmtId="0" fontId="27" fillId="13" borderId="10" xfId="0" applyFont="1" applyFill="1" applyBorder="1" applyAlignment="1">
      <alignment wrapText="1"/>
    </xf>
    <xf numFmtId="0" fontId="0" fillId="13" borderId="64" xfId="0" applyFont="1" applyFill="1" applyBorder="1"/>
    <xf numFmtId="0" fontId="0" fillId="13" borderId="8" xfId="0" applyFont="1" applyFill="1" applyBorder="1"/>
    <xf numFmtId="165" fontId="0" fillId="13" borderId="8" xfId="0" applyNumberFormat="1" applyFont="1" applyFill="1" applyBorder="1"/>
    <xf numFmtId="165" fontId="0" fillId="13" borderId="19" xfId="0" applyNumberFormat="1" applyFont="1" applyFill="1" applyBorder="1"/>
    <xf numFmtId="0" fontId="27" fillId="13" borderId="35" xfId="0" applyFont="1" applyFill="1" applyBorder="1"/>
    <xf numFmtId="0" fontId="0" fillId="2" borderId="34" xfId="0" applyFont="1" applyFill="1" applyBorder="1"/>
    <xf numFmtId="0" fontId="0" fillId="2" borderId="10" xfId="0" applyFont="1" applyFill="1" applyBorder="1" applyAlignment="1">
      <alignment wrapText="1"/>
    </xf>
    <xf numFmtId="165" fontId="0" fillId="2" borderId="62" xfId="0" applyNumberFormat="1" applyFont="1" applyFill="1" applyBorder="1" applyAlignment="1">
      <alignment vertical="center"/>
    </xf>
    <xf numFmtId="165" fontId="0" fillId="2" borderId="64" xfId="0" applyNumberFormat="1" applyFont="1" applyFill="1" applyBorder="1" applyAlignment="1">
      <alignment vertical="center"/>
    </xf>
    <xf numFmtId="165" fontId="0" fillId="2" borderId="8" xfId="0" applyNumberFormat="1" applyFont="1" applyFill="1" applyBorder="1" applyAlignment="1">
      <alignment vertical="center"/>
    </xf>
    <xf numFmtId="165" fontId="0" fillId="2" borderId="19" xfId="0" applyNumberFormat="1" applyFont="1" applyFill="1" applyBorder="1" applyAlignment="1">
      <alignment vertical="center"/>
    </xf>
    <xf numFmtId="167" fontId="27" fillId="2" borderId="35" xfId="1" applyNumberFormat="1" applyFont="1" applyFill="1" applyBorder="1" applyAlignment="1" applyProtection="1"/>
    <xf numFmtId="0" fontId="27" fillId="13" borderId="34" xfId="0" applyFont="1" applyFill="1" applyBorder="1"/>
    <xf numFmtId="165" fontId="27" fillId="13" borderId="62" xfId="0" applyNumberFormat="1" applyFont="1" applyFill="1" applyBorder="1"/>
    <xf numFmtId="165" fontId="27" fillId="13" borderId="19" xfId="0" applyNumberFormat="1" applyFont="1" applyFill="1" applyBorder="1"/>
    <xf numFmtId="165" fontId="27" fillId="13" borderId="10" xfId="0" applyNumberFormat="1" applyFont="1" applyFill="1" applyBorder="1"/>
    <xf numFmtId="165" fontId="27" fillId="13" borderId="8" xfId="0" applyNumberFormat="1" applyFont="1" applyFill="1" applyBorder="1"/>
    <xf numFmtId="167" fontId="27" fillId="13" borderId="35" xfId="1" applyNumberFormat="1" applyFont="1" applyFill="1" applyBorder="1" applyAlignment="1" applyProtection="1"/>
    <xf numFmtId="0" fontId="0" fillId="14" borderId="53" xfId="0" applyFont="1" applyFill="1" applyBorder="1"/>
    <xf numFmtId="0" fontId="27" fillId="14" borderId="10" xfId="0" applyFont="1" applyFill="1" applyBorder="1" applyAlignment="1">
      <alignment wrapText="1"/>
    </xf>
    <xf numFmtId="166" fontId="0" fillId="14" borderId="64" xfId="0" applyNumberFormat="1" applyFont="1" applyFill="1" applyBorder="1"/>
    <xf numFmtId="166" fontId="0" fillId="14" borderId="8" xfId="0" applyNumberFormat="1" applyFont="1" applyFill="1" applyBorder="1"/>
    <xf numFmtId="166" fontId="0" fillId="14" borderId="19" xfId="0" applyNumberFormat="1" applyFont="1" applyFill="1" applyBorder="1"/>
    <xf numFmtId="0" fontId="27" fillId="14" borderId="35" xfId="0" applyFont="1" applyFill="1" applyBorder="1"/>
    <xf numFmtId="0" fontId="0" fillId="15" borderId="34" xfId="0" applyFont="1" applyFill="1" applyBorder="1"/>
    <xf numFmtId="0" fontId="0" fillId="15" borderId="10" xfId="0" applyFont="1" applyFill="1" applyBorder="1" applyAlignment="1"/>
    <xf numFmtId="165" fontId="0" fillId="15" borderId="62" xfId="0" applyNumberFormat="1" applyFont="1" applyFill="1" applyBorder="1"/>
    <xf numFmtId="165" fontId="0" fillId="15" borderId="64" xfId="0" applyNumberFormat="1" applyFont="1" applyFill="1" applyBorder="1"/>
    <xf numFmtId="165" fontId="0" fillId="15" borderId="8" xfId="0" applyNumberFormat="1" applyFont="1" applyFill="1" applyBorder="1"/>
    <xf numFmtId="165" fontId="0" fillId="15" borderId="19" xfId="0" applyNumberFormat="1" applyFont="1" applyFill="1" applyBorder="1"/>
    <xf numFmtId="167" fontId="27" fillId="15" borderId="35" xfId="1" applyNumberFormat="1" applyFont="1" applyFill="1" applyBorder="1" applyAlignment="1" applyProtection="1"/>
    <xf numFmtId="0" fontId="0" fillId="15" borderId="10" xfId="0" applyFont="1" applyFill="1" applyBorder="1" applyAlignment="1">
      <alignment horizontal="justify"/>
    </xf>
    <xf numFmtId="166" fontId="0" fillId="15" borderId="64" xfId="0" applyNumberFormat="1" applyFont="1" applyFill="1" applyBorder="1"/>
    <xf numFmtId="166" fontId="0" fillId="15" borderId="8" xfId="0" applyNumberFormat="1" applyFont="1" applyFill="1" applyBorder="1"/>
    <xf numFmtId="0" fontId="27" fillId="15" borderId="35" xfId="0" applyFont="1" applyFill="1" applyBorder="1"/>
    <xf numFmtId="0" fontId="0" fillId="15" borderId="10" xfId="0" applyFont="1" applyFill="1" applyBorder="1" applyAlignment="1">
      <alignment wrapText="1"/>
    </xf>
    <xf numFmtId="0" fontId="0" fillId="15" borderId="10" xfId="0" applyFont="1" applyFill="1" applyBorder="1"/>
    <xf numFmtId="165" fontId="0" fillId="15" borderId="0" xfId="0" applyNumberFormat="1" applyFont="1" applyFill="1" applyBorder="1"/>
    <xf numFmtId="166" fontId="0" fillId="15" borderId="19" xfId="0" applyNumberFormat="1" applyFont="1" applyFill="1" applyBorder="1"/>
    <xf numFmtId="0" fontId="0" fillId="15" borderId="19" xfId="0" applyFont="1" applyFill="1" applyBorder="1" applyAlignment="1">
      <alignment wrapText="1"/>
    </xf>
    <xf numFmtId="0" fontId="0" fillId="15" borderId="10" xfId="0" applyFont="1" applyFill="1" applyBorder="1" applyAlignment="1">
      <alignment vertical="center" wrapText="1"/>
    </xf>
    <xf numFmtId="165" fontId="0" fillId="15" borderId="64" xfId="0" applyNumberFormat="1" applyFont="1" applyFill="1" applyBorder="1" applyAlignment="1">
      <alignment vertical="center"/>
    </xf>
    <xf numFmtId="165" fontId="0" fillId="15" borderId="8" xfId="0" applyNumberFormat="1" applyFont="1" applyFill="1" applyBorder="1" applyAlignment="1">
      <alignment vertical="center"/>
    </xf>
    <xf numFmtId="165" fontId="0" fillId="15" borderId="10" xfId="0" applyNumberFormat="1" applyFont="1" applyFill="1" applyBorder="1"/>
    <xf numFmtId="165" fontId="0" fillId="15" borderId="10" xfId="0" applyNumberFormat="1" applyFont="1" applyFill="1" applyBorder="1" applyAlignment="1">
      <alignment vertical="center"/>
    </xf>
    <xf numFmtId="0" fontId="0" fillId="14" borderId="34" xfId="0" applyFont="1" applyFill="1" applyBorder="1"/>
    <xf numFmtId="0" fontId="27" fillId="14" borderId="19" xfId="0" applyFont="1" applyFill="1" applyBorder="1" applyAlignment="1">
      <alignment horizontal="right" wrapText="1"/>
    </xf>
    <xf numFmtId="166" fontId="0" fillId="14" borderId="62" xfId="0" applyNumberFormat="1" applyFont="1" applyFill="1" applyBorder="1"/>
    <xf numFmtId="165" fontId="0" fillId="14" borderId="8" xfId="0" applyNumberFormat="1" applyFont="1" applyFill="1" applyBorder="1"/>
    <xf numFmtId="166" fontId="0" fillId="14" borderId="10" xfId="0" applyNumberFormat="1" applyFont="1" applyFill="1" applyBorder="1"/>
    <xf numFmtId="10" fontId="27" fillId="14" borderId="35" xfId="1" applyNumberFormat="1" applyFont="1" applyFill="1" applyBorder="1" applyAlignment="1" applyProtection="1"/>
    <xf numFmtId="0" fontId="0" fillId="0" borderId="0" xfId="0" applyFont="1" applyBorder="1"/>
    <xf numFmtId="0" fontId="0" fillId="7" borderId="0" xfId="0" applyFont="1" applyFill="1"/>
    <xf numFmtId="0" fontId="27" fillId="0" borderId="23" xfId="0" applyFont="1" applyBorder="1" applyAlignment="1">
      <alignment horizontal="center" vertical="center"/>
    </xf>
    <xf numFmtId="166" fontId="0" fillId="4" borderId="10" xfId="0" applyNumberFormat="1" applyFont="1" applyFill="1" applyBorder="1"/>
    <xf numFmtId="0" fontId="27" fillId="14" borderId="8" xfId="0" applyFont="1" applyFill="1" applyBorder="1" applyAlignment="1">
      <alignment wrapText="1"/>
    </xf>
    <xf numFmtId="165" fontId="0" fillId="14" borderId="64" xfId="0" applyNumberFormat="1" applyFont="1" applyFill="1" applyBorder="1"/>
    <xf numFmtId="0" fontId="0" fillId="15" borderId="0" xfId="0" applyFont="1" applyFill="1" applyAlignment="1">
      <alignment horizontal="justify"/>
    </xf>
    <xf numFmtId="0" fontId="0" fillId="15" borderId="8" xfId="0" applyFont="1" applyFill="1" applyBorder="1" applyAlignment="1">
      <alignment wrapText="1"/>
    </xf>
    <xf numFmtId="166" fontId="0" fillId="15" borderId="10" xfId="0" applyNumberFormat="1" applyFont="1" applyFill="1" applyBorder="1"/>
    <xf numFmtId="0" fontId="27" fillId="14" borderId="8" xfId="0" applyFont="1" applyFill="1" applyBorder="1" applyAlignment="1">
      <alignment horizontal="right" wrapText="1"/>
    </xf>
    <xf numFmtId="166" fontId="0" fillId="14" borderId="63" xfId="0" applyNumberFormat="1" applyFont="1" applyFill="1" applyBorder="1"/>
    <xf numFmtId="166" fontId="0" fillId="14" borderId="35" xfId="0" applyNumberFormat="1" applyFont="1" applyFill="1" applyBorder="1"/>
    <xf numFmtId="0" fontId="0" fillId="14" borderId="56" xfId="0" applyFont="1" applyFill="1" applyBorder="1"/>
    <xf numFmtId="0" fontId="27" fillId="14" borderId="9" xfId="0" applyFont="1" applyFill="1" applyBorder="1" applyAlignment="1">
      <alignment wrapText="1"/>
    </xf>
    <xf numFmtId="166" fontId="27" fillId="14" borderId="62" xfId="0" applyNumberFormat="1" applyFont="1" applyFill="1" applyBorder="1"/>
    <xf numFmtId="166" fontId="27" fillId="14" borderId="65" xfId="0" applyNumberFormat="1" applyFont="1" applyFill="1" applyBorder="1"/>
    <xf numFmtId="166" fontId="27" fillId="14" borderId="5" xfId="0" applyNumberFormat="1" applyFont="1" applyFill="1" applyBorder="1"/>
    <xf numFmtId="165" fontId="27" fillId="14" borderId="5" xfId="0" applyNumberFormat="1" applyFont="1" applyFill="1" applyBorder="1"/>
    <xf numFmtId="166" fontId="27" fillId="14" borderId="80" xfId="0" applyNumberFormat="1" applyFont="1" applyFill="1" applyBorder="1"/>
    <xf numFmtId="0" fontId="12" fillId="0" borderId="0" xfId="0" applyFont="1" applyAlignment="1">
      <alignment horizontal="right"/>
    </xf>
    <xf numFmtId="0" fontId="28" fillId="0" borderId="0" xfId="0" applyFont="1"/>
    <xf numFmtId="49" fontId="11" fillId="0" borderId="0" xfId="0" applyNumberFormat="1" applyFont="1"/>
    <xf numFmtId="168" fontId="11" fillId="0" borderId="0" xfId="0" applyNumberFormat="1" applyFont="1"/>
    <xf numFmtId="168" fontId="11" fillId="0" borderId="0" xfId="0" applyNumberFormat="1" applyFont="1" applyBorder="1"/>
    <xf numFmtId="168" fontId="11" fillId="0" borderId="1" xfId="0" applyNumberFormat="1" applyFont="1" applyBorder="1"/>
    <xf numFmtId="0" fontId="0" fillId="0" borderId="0" xfId="0" applyFont="1" applyAlignment="1">
      <alignment horizontal="right"/>
    </xf>
    <xf numFmtId="168" fontId="0" fillId="0" borderId="0" xfId="0" applyNumberFormat="1" applyFont="1"/>
    <xf numFmtId="168" fontId="14" fillId="0" borderId="0" xfId="0" applyNumberFormat="1" applyFont="1"/>
    <xf numFmtId="168" fontId="5" fillId="0" borderId="0" xfId="0" applyNumberFormat="1" applyFont="1"/>
    <xf numFmtId="168" fontId="0" fillId="0" borderId="0" xfId="0" applyNumberFormat="1"/>
    <xf numFmtId="0" fontId="9" fillId="0" borderId="13" xfId="0" applyFont="1" applyBorder="1"/>
    <xf numFmtId="0" fontId="2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 wrapText="1"/>
    </xf>
    <xf numFmtId="0" fontId="21" fillId="0" borderId="87" xfId="0" applyFont="1" applyBorder="1"/>
    <xf numFmtId="0" fontId="34" fillId="0" borderId="0" xfId="0" applyFont="1"/>
    <xf numFmtId="0" fontId="16" fillId="0" borderId="0" xfId="0" applyFont="1"/>
    <xf numFmtId="0" fontId="37" fillId="0" borderId="88" xfId="0" applyFont="1" applyBorder="1" applyAlignment="1">
      <alignment horizontal="center"/>
    </xf>
    <xf numFmtId="3" fontId="37" fillId="0" borderId="41" xfId="0" applyNumberFormat="1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1" fillId="0" borderId="1" xfId="0" applyFont="1" applyBorder="1"/>
    <xf numFmtId="0" fontId="37" fillId="0" borderId="1" xfId="0" applyFont="1" applyBorder="1"/>
    <xf numFmtId="0" fontId="34" fillId="0" borderId="1" xfId="0" applyFont="1" applyBorder="1"/>
    <xf numFmtId="3" fontId="34" fillId="0" borderId="89" xfId="0" applyNumberFormat="1" applyFont="1" applyBorder="1"/>
    <xf numFmtId="0" fontId="21" fillId="0" borderId="56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0" fontId="21" fillId="0" borderId="91" xfId="0" applyFont="1" applyBorder="1" applyAlignment="1">
      <alignment horizontal="center"/>
    </xf>
    <xf numFmtId="0" fontId="21" fillId="0" borderId="8" xfId="0" applyFont="1" applyBorder="1"/>
    <xf numFmtId="0" fontId="21" fillId="0" borderId="0" xfId="0" applyFont="1" applyAlignment="1">
      <alignment horizontal="center"/>
    </xf>
    <xf numFmtId="0" fontId="21" fillId="0" borderId="19" xfId="0" applyFont="1" applyBorder="1"/>
    <xf numFmtId="0" fontId="34" fillId="0" borderId="8" xfId="0" applyFont="1" applyBorder="1"/>
    <xf numFmtId="0" fontId="37" fillId="0" borderId="19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21" fillId="0" borderId="7" xfId="0" applyFont="1" applyBorder="1"/>
    <xf numFmtId="0" fontId="21" fillId="0" borderId="7" xfId="0" applyFont="1" applyBorder="1" applyAlignment="1">
      <alignment horizontal="center"/>
    </xf>
    <xf numFmtId="0" fontId="34" fillId="0" borderId="19" xfId="0" applyFont="1" applyBorder="1"/>
    <xf numFmtId="0" fontId="21" fillId="0" borderId="64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64" xfId="0" applyFont="1" applyBorder="1"/>
    <xf numFmtId="0" fontId="21" fillId="0" borderId="55" xfId="0" applyFont="1" applyBorder="1"/>
    <xf numFmtId="0" fontId="21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5" fillId="0" borderId="93" xfId="0" applyFont="1" applyBorder="1" applyAlignment="1">
      <alignment horizontal="center"/>
    </xf>
    <xf numFmtId="0" fontId="21" fillId="0" borderId="93" xfId="0" applyFont="1" applyBorder="1" applyAlignment="1">
      <alignment horizontal="center"/>
    </xf>
    <xf numFmtId="0" fontId="38" fillId="0" borderId="0" xfId="2" applyFont="1"/>
    <xf numFmtId="0" fontId="38" fillId="0" borderId="2" xfId="2" applyFont="1" applyBorder="1" applyAlignment="1">
      <alignment vertical="center"/>
    </xf>
    <xf numFmtId="0" fontId="38" fillId="0" borderId="1" xfId="2" applyFont="1" applyBorder="1" applyAlignment="1">
      <alignment vertical="center"/>
    </xf>
    <xf numFmtId="3" fontId="38" fillId="0" borderId="0" xfId="2" applyNumberFormat="1" applyFont="1"/>
    <xf numFmtId="0" fontId="41" fillId="0" borderId="4" xfId="2" applyFont="1" applyBorder="1" applyAlignment="1">
      <alignment vertical="center"/>
    </xf>
    <xf numFmtId="0" fontId="38" fillId="0" borderId="4" xfId="2" applyFont="1" applyBorder="1"/>
    <xf numFmtId="3" fontId="31" fillId="0" borderId="0" xfId="2" applyNumberFormat="1" applyFont="1"/>
    <xf numFmtId="0" fontId="38" fillId="0" borderId="2" xfId="2" applyFont="1" applyBorder="1"/>
    <xf numFmtId="0" fontId="38" fillId="0" borderId="1" xfId="2" applyFont="1" applyBorder="1"/>
    <xf numFmtId="0" fontId="38" fillId="0" borderId="0" xfId="2" applyFont="1" applyAlignment="1">
      <alignment horizontal="left"/>
    </xf>
    <xf numFmtId="3" fontId="38" fillId="0" borderId="4" xfId="2" applyNumberFormat="1" applyFont="1" applyBorder="1"/>
    <xf numFmtId="0" fontId="51" fillId="0" borderId="0" xfId="3"/>
    <xf numFmtId="0" fontId="5" fillId="0" borderId="0" xfId="3" applyFont="1" applyAlignment="1">
      <alignment horizontal="center"/>
    </xf>
    <xf numFmtId="0" fontId="2" fillId="0" borderId="60" xfId="3" applyFont="1" applyBorder="1" applyAlignment="1">
      <alignment horizontal="center"/>
    </xf>
    <xf numFmtId="0" fontId="2" fillId="0" borderId="63" xfId="3" applyFont="1" applyBorder="1" applyAlignment="1">
      <alignment horizontal="center"/>
    </xf>
    <xf numFmtId="0" fontId="2" fillId="0" borderId="64" xfId="3" applyFont="1" applyBorder="1" applyAlignment="1"/>
    <xf numFmtId="0" fontId="2" fillId="0" borderId="8" xfId="3" applyFont="1" applyBorder="1" applyAlignment="1"/>
    <xf numFmtId="0" fontId="5" fillId="0" borderId="63" xfId="3" applyFont="1" applyBorder="1" applyAlignment="1">
      <alignment horizontal="center"/>
    </xf>
    <xf numFmtId="0" fontId="2" fillId="0" borderId="65" xfId="3" applyFont="1" applyBorder="1" applyAlignment="1">
      <alignment horizontal="center"/>
    </xf>
    <xf numFmtId="0" fontId="5" fillId="0" borderId="99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2" fillId="0" borderId="0" xfId="3" applyFont="1"/>
    <xf numFmtId="0" fontId="5" fillId="0" borderId="67" xfId="3" applyFont="1" applyBorder="1" applyAlignment="1">
      <alignment horizontal="center"/>
    </xf>
    <xf numFmtId="0" fontId="2" fillId="0" borderId="70" xfId="3" applyFont="1" applyBorder="1" applyAlignment="1">
      <alignment horizontal="center"/>
    </xf>
    <xf numFmtId="0" fontId="2" fillId="0" borderId="6" xfId="3" applyFont="1" applyBorder="1" applyAlignment="1">
      <alignment horizontal="center"/>
    </xf>
    <xf numFmtId="0" fontId="5" fillId="0" borderId="73" xfId="3" applyFont="1" applyBorder="1" applyAlignment="1">
      <alignment horizontal="center"/>
    </xf>
    <xf numFmtId="0" fontId="51" fillId="0" borderId="0" xfId="3" applyFont="1"/>
    <xf numFmtId="0" fontId="52" fillId="0" borderId="0" xfId="3" applyFont="1"/>
    <xf numFmtId="0" fontId="4" fillId="0" borderId="0" xfId="3" applyFont="1" applyAlignment="1">
      <alignment horizontal="center" vertical="center" wrapText="1"/>
    </xf>
    <xf numFmtId="172" fontId="4" fillId="0" borderId="0" xfId="3" applyNumberFormat="1" applyFont="1" applyAlignment="1">
      <alignment horizontal="center" vertical="center" wrapText="1"/>
    </xf>
    <xf numFmtId="0" fontId="52" fillId="0" borderId="0" xfId="3" applyFont="1" applyAlignment="1">
      <alignment horizontal="center" vertical="center"/>
    </xf>
    <xf numFmtId="172" fontId="52" fillId="0" borderId="0" xfId="3" applyNumberFormat="1" applyFont="1"/>
    <xf numFmtId="0" fontId="5" fillId="0" borderId="8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/>
    </xf>
    <xf numFmtId="172" fontId="5" fillId="0" borderId="8" xfId="3" applyNumberFormat="1" applyFont="1" applyBorder="1" applyAlignment="1">
      <alignment horizontal="center" vertical="center" wrapText="1"/>
    </xf>
    <xf numFmtId="0" fontId="52" fillId="0" borderId="8" xfId="3" applyFont="1" applyBorder="1" applyAlignment="1">
      <alignment horizontal="center" vertical="center"/>
    </xf>
    <xf numFmtId="0" fontId="52" fillId="0" borderId="8" xfId="3" applyFont="1" applyBorder="1"/>
    <xf numFmtId="172" fontId="52" fillId="0" borderId="8" xfId="3" applyNumberFormat="1" applyFont="1" applyBorder="1"/>
    <xf numFmtId="0" fontId="52" fillId="0" borderId="8" xfId="3" applyFont="1" applyBorder="1" applyAlignment="1">
      <alignment wrapText="1"/>
    </xf>
    <xf numFmtId="172" fontId="5" fillId="0" borderId="8" xfId="3" applyNumberFormat="1" applyFont="1" applyBorder="1"/>
    <xf numFmtId="172" fontId="8" fillId="0" borderId="8" xfId="3" applyNumberFormat="1" applyFont="1" applyBorder="1"/>
    <xf numFmtId="0" fontId="2" fillId="0" borderId="8" xfId="3" applyFont="1" applyBorder="1" applyAlignment="1">
      <alignment horizontal="center"/>
    </xf>
    <xf numFmtId="0" fontId="4" fillId="0" borderId="0" xfId="3" applyFont="1" applyAlignment="1">
      <alignment horizontal="center"/>
    </xf>
    <xf numFmtId="0" fontId="60" fillId="0" borderId="0" xfId="5"/>
    <xf numFmtId="0" fontId="60" fillId="0" borderId="0" xfId="5" applyAlignment="1">
      <alignment horizontal="center"/>
    </xf>
    <xf numFmtId="0" fontId="59" fillId="0" borderId="0" xfId="5" applyFont="1"/>
    <xf numFmtId="0" fontId="59" fillId="0" borderId="25" xfId="5" applyFont="1" applyBorder="1" applyAlignment="1">
      <alignment horizontal="center"/>
    </xf>
    <xf numFmtId="3" fontId="60" fillId="0" borderId="8" xfId="5" applyNumberFormat="1" applyBorder="1" applyAlignment="1">
      <alignment vertical="center"/>
    </xf>
    <xf numFmtId="3" fontId="62" fillId="0" borderId="8" xfId="5" applyNumberFormat="1" applyFont="1" applyBorder="1" applyAlignment="1">
      <alignment horizontal="right" vertical="center" wrapText="1"/>
    </xf>
    <xf numFmtId="0" fontId="60" fillId="0" borderId="56" xfId="5" applyBorder="1" applyAlignment="1">
      <alignment horizontal="center" vertical="center"/>
    </xf>
    <xf numFmtId="0" fontId="62" fillId="0" borderId="8" xfId="5" applyFont="1" applyBorder="1" applyAlignment="1">
      <alignment horizontal="left" vertical="center" wrapText="1"/>
    </xf>
    <xf numFmtId="3" fontId="60" fillId="0" borderId="8" xfId="5" applyNumberFormat="1" applyBorder="1" applyAlignment="1">
      <alignment horizontal="right" vertical="center" wrapText="1"/>
    </xf>
    <xf numFmtId="0" fontId="59" fillId="0" borderId="33" xfId="5" applyFont="1" applyBorder="1"/>
    <xf numFmtId="0" fontId="59" fillId="0" borderId="6" xfId="5" applyFont="1" applyBorder="1"/>
    <xf numFmtId="0" fontId="59" fillId="0" borderId="32" xfId="5" applyFont="1" applyBorder="1" applyAlignment="1">
      <alignment horizontal="center"/>
    </xf>
    <xf numFmtId="0" fontId="59" fillId="0" borderId="30" xfId="5" applyFont="1" applyBorder="1" applyAlignment="1">
      <alignment horizontal="center" vertical="center" wrapText="1"/>
    </xf>
    <xf numFmtId="0" fontId="59" fillId="0" borderId="21" xfId="5" applyFont="1" applyBorder="1" applyAlignment="1">
      <alignment horizontal="center" vertical="center" wrapText="1"/>
    </xf>
    <xf numFmtId="0" fontId="59" fillId="0" borderId="25" xfId="5" applyFont="1" applyBorder="1" applyAlignment="1">
      <alignment horizontal="center" vertical="center"/>
    </xf>
    <xf numFmtId="0" fontId="63" fillId="0" borderId="0" xfId="5" applyFont="1"/>
    <xf numFmtId="0" fontId="63" fillId="0" borderId="0" xfId="5" applyFont="1" applyAlignment="1">
      <alignment horizontal="center"/>
    </xf>
    <xf numFmtId="0" fontId="64" fillId="0" borderId="6" xfId="5" applyFont="1" applyBorder="1" applyAlignment="1">
      <alignment horizontal="left" vertical="center"/>
    </xf>
    <xf numFmtId="3" fontId="21" fillId="0" borderId="0" xfId="0" applyNumberFormat="1" applyFont="1"/>
    <xf numFmtId="0" fontId="41" fillId="0" borderId="4" xfId="2" applyFont="1" applyBorder="1" applyAlignment="1">
      <alignment horizontal="left" vertical="center"/>
    </xf>
    <xf numFmtId="0" fontId="9" fillId="0" borderId="0" xfId="7" applyFont="1"/>
    <xf numFmtId="0" fontId="66" fillId="0" borderId="0" xfId="7"/>
    <xf numFmtId="0" fontId="43" fillId="0" borderId="0" xfId="7" applyFont="1"/>
    <xf numFmtId="0" fontId="34" fillId="0" borderId="107" xfId="0" applyFont="1" applyBorder="1"/>
    <xf numFmtId="3" fontId="25" fillId="0" borderId="108" xfId="0" applyNumberFormat="1" applyFont="1" applyBorder="1"/>
    <xf numFmtId="0" fontId="37" fillId="0" borderId="55" xfId="0" applyFont="1" applyBorder="1" applyAlignment="1">
      <alignment horizontal="center"/>
    </xf>
    <xf numFmtId="0" fontId="34" fillId="0" borderId="47" xfId="0" applyFont="1" applyBorder="1"/>
    <xf numFmtId="0" fontId="34" fillId="0" borderId="37" xfId="0" applyFont="1" applyBorder="1"/>
    <xf numFmtId="0" fontId="34" fillId="0" borderId="55" xfId="0" applyFont="1" applyBorder="1"/>
    <xf numFmtId="0" fontId="37" fillId="0" borderId="64" xfId="0" applyFont="1" applyBorder="1" applyAlignment="1">
      <alignment horizontal="center"/>
    </xf>
    <xf numFmtId="3" fontId="25" fillId="0" borderId="107" xfId="0" applyNumberFormat="1" applyFont="1" applyBorder="1"/>
    <xf numFmtId="3" fontId="2" fillId="0" borderId="6" xfId="0" applyNumberFormat="1" applyFont="1" applyBorder="1"/>
    <xf numFmtId="3" fontId="2" fillId="0" borderId="18" xfId="0" applyNumberFormat="1" applyFont="1" applyBorder="1"/>
    <xf numFmtId="0" fontId="2" fillId="0" borderId="4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11" fillId="0" borderId="0" xfId="0" applyNumberFormat="1" applyFont="1" applyBorder="1" applyAlignment="1">
      <alignment horizontal="left"/>
    </xf>
    <xf numFmtId="168" fontId="5" fillId="0" borderId="2" xfId="0" applyNumberFormat="1" applyFont="1" applyBorder="1"/>
    <xf numFmtId="0" fontId="67" fillId="8" borderId="19" xfId="0" applyFont="1" applyFill="1" applyBorder="1" applyAlignment="1">
      <alignment horizontal="right" wrapText="1"/>
    </xf>
    <xf numFmtId="0" fontId="21" fillId="0" borderId="34" xfId="0" applyFont="1" applyBorder="1" applyAlignment="1">
      <alignment horizontal="left" vertical="center" wrapText="1"/>
    </xf>
    <xf numFmtId="172" fontId="2" fillId="0" borderId="0" xfId="0" applyNumberFormat="1" applyFont="1"/>
    <xf numFmtId="49" fontId="21" fillId="0" borderId="0" xfId="0" applyNumberFormat="1" applyFont="1" applyFill="1" applyBorder="1" applyAlignment="1">
      <alignment horizontal="left" vertical="center" wrapText="1" indent="1"/>
    </xf>
    <xf numFmtId="172" fontId="5" fillId="0" borderId="0" xfId="0" applyNumberFormat="1" applyFont="1"/>
    <xf numFmtId="172" fontId="0" fillId="0" borderId="0" xfId="0" applyNumberFormat="1"/>
    <xf numFmtId="165" fontId="0" fillId="15" borderId="8" xfId="0" applyNumberFormat="1" applyFont="1" applyFill="1" applyBorder="1" applyAlignment="1">
      <alignment horizontal="right"/>
    </xf>
    <xf numFmtId="0" fontId="5" fillId="19" borderId="95" xfId="0" applyFont="1" applyFill="1" applyBorder="1" applyAlignment="1">
      <alignment horizontal="right" vertical="center"/>
    </xf>
    <xf numFmtId="3" fontId="5" fillId="19" borderId="88" xfId="0" applyNumberFormat="1" applyFont="1" applyFill="1" applyBorder="1" applyAlignment="1">
      <alignment horizontal="center" vertical="center"/>
    </xf>
    <xf numFmtId="3" fontId="5" fillId="19" borderId="26" xfId="0" applyNumberFormat="1" applyFont="1" applyFill="1" applyBorder="1" applyAlignment="1">
      <alignment horizontal="center" vertical="center"/>
    </xf>
    <xf numFmtId="10" fontId="2" fillId="19" borderId="21" xfId="0" applyNumberFormat="1" applyFont="1" applyFill="1" applyBorder="1" applyAlignment="1">
      <alignment horizontal="center" vertical="center"/>
    </xf>
    <xf numFmtId="5" fontId="5" fillId="19" borderId="41" xfId="0" applyNumberFormat="1" applyFont="1" applyFill="1" applyBorder="1" applyAlignment="1">
      <alignment horizontal="center" vertical="center"/>
    </xf>
    <xf numFmtId="0" fontId="56" fillId="0" borderId="0" xfId="0" applyFont="1"/>
    <xf numFmtId="0" fontId="70" fillId="0" borderId="0" xfId="0" applyFont="1"/>
    <xf numFmtId="0" fontId="71" fillId="0" borderId="0" xfId="0" applyFont="1"/>
    <xf numFmtId="0" fontId="27" fillId="5" borderId="3" xfId="0" applyFont="1" applyFill="1" applyBorder="1" applyAlignment="1">
      <alignment horizontal="center" vertical="center"/>
    </xf>
    <xf numFmtId="0" fontId="9" fillId="6" borderId="77" xfId="0" applyFont="1" applyFill="1" applyBorder="1" applyAlignment="1">
      <alignment horizontal="center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9" fillId="6" borderId="23" xfId="0" applyFont="1" applyFill="1" applyBorder="1" applyAlignment="1">
      <alignment horizontal="center" vertical="center" wrapText="1"/>
    </xf>
    <xf numFmtId="0" fontId="9" fillId="7" borderId="51" xfId="0" applyFont="1" applyFill="1" applyBorder="1" applyAlignment="1">
      <alignment horizontal="center" vertical="center" wrapText="1"/>
    </xf>
    <xf numFmtId="0" fontId="9" fillId="7" borderId="78" xfId="0" applyFont="1" applyFill="1" applyBorder="1" applyAlignment="1">
      <alignment horizontal="center" vertical="center" wrapText="1"/>
    </xf>
    <xf numFmtId="3" fontId="0" fillId="4" borderId="62" xfId="0" applyNumberFormat="1" applyFont="1" applyFill="1" applyBorder="1"/>
    <xf numFmtId="0" fontId="0" fillId="8" borderId="53" xfId="0" applyFont="1" applyFill="1" applyBorder="1"/>
    <xf numFmtId="0" fontId="27" fillId="8" borderId="10" xfId="0" applyFont="1" applyFill="1" applyBorder="1" applyAlignment="1">
      <alignment wrapText="1"/>
    </xf>
    <xf numFmtId="166" fontId="0" fillId="8" borderId="62" xfId="0" applyNumberFormat="1" applyFont="1" applyFill="1" applyBorder="1" applyAlignment="1"/>
    <xf numFmtId="166" fontId="0" fillId="8" borderId="64" xfId="0" applyNumberFormat="1" applyFont="1" applyFill="1" applyBorder="1" applyAlignment="1"/>
    <xf numFmtId="166" fontId="0" fillId="8" borderId="8" xfId="0" applyNumberFormat="1" applyFont="1" applyFill="1" applyBorder="1" applyAlignment="1"/>
    <xf numFmtId="166" fontId="0" fillId="8" borderId="10" xfId="0" applyNumberFormat="1" applyFont="1" applyFill="1" applyBorder="1" applyAlignment="1"/>
    <xf numFmtId="166" fontId="0" fillId="0" borderId="62" xfId="0" applyNumberFormat="1" applyFont="1" applyBorder="1"/>
    <xf numFmtId="166" fontId="0" fillId="10" borderId="62" xfId="0" applyNumberFormat="1" applyFont="1" applyFill="1" applyBorder="1"/>
    <xf numFmtId="0" fontId="0" fillId="10" borderId="53" xfId="0" applyFont="1" applyFill="1" applyBorder="1" applyAlignment="1">
      <alignment vertical="center"/>
    </xf>
    <xf numFmtId="166" fontId="0" fillId="10" borderId="10" xfId="0" applyNumberFormat="1" applyFont="1" applyFill="1" applyBorder="1" applyAlignment="1">
      <alignment vertical="center"/>
    </xf>
    <xf numFmtId="166" fontId="0" fillId="10" borderId="10" xfId="0" applyNumberFormat="1" applyFont="1" applyFill="1" applyBorder="1"/>
    <xf numFmtId="166" fontId="27" fillId="10" borderId="10" xfId="0" applyNumberFormat="1" applyFont="1" applyFill="1" applyBorder="1"/>
    <xf numFmtId="3" fontId="0" fillId="0" borderId="62" xfId="0" applyNumberFormat="1" applyFont="1" applyBorder="1"/>
    <xf numFmtId="3" fontId="0" fillId="13" borderId="62" xfId="0" applyNumberFormat="1" applyFont="1" applyFill="1" applyBorder="1"/>
    <xf numFmtId="0" fontId="9" fillId="6" borderId="79" xfId="0" applyFont="1" applyFill="1" applyBorder="1" applyAlignment="1">
      <alignment horizontal="center" vertical="center" wrapText="1"/>
    </xf>
    <xf numFmtId="0" fontId="27" fillId="7" borderId="81" xfId="0" applyFont="1" applyFill="1" applyBorder="1" applyAlignment="1">
      <alignment vertical="center"/>
    </xf>
    <xf numFmtId="0" fontId="27" fillId="7" borderId="66" xfId="0" applyFont="1" applyFill="1" applyBorder="1" applyAlignment="1">
      <alignment horizontal="right" wrapText="1"/>
    </xf>
    <xf numFmtId="165" fontId="27" fillId="7" borderId="69" xfId="0" applyNumberFormat="1" applyFont="1" applyFill="1" applyBorder="1" applyAlignment="1">
      <alignment vertical="center"/>
    </xf>
    <xf numFmtId="165" fontId="27" fillId="7" borderId="82" xfId="0" applyNumberFormat="1" applyFont="1" applyFill="1" applyBorder="1" applyAlignment="1">
      <alignment vertical="center"/>
    </xf>
    <xf numFmtId="165" fontId="27" fillId="7" borderId="83" xfId="0" applyNumberFormat="1" applyFont="1" applyFill="1" applyBorder="1" applyAlignment="1">
      <alignment vertical="center"/>
    </xf>
    <xf numFmtId="9" fontId="0" fillId="7" borderId="84" xfId="1" applyFont="1" applyFill="1" applyBorder="1" applyAlignment="1" applyProtection="1">
      <alignment vertical="center"/>
    </xf>
    <xf numFmtId="0" fontId="27" fillId="7" borderId="85" xfId="0" applyFont="1" applyFill="1" applyBorder="1" applyAlignment="1">
      <alignment vertical="center"/>
    </xf>
    <xf numFmtId="0" fontId="27" fillId="7" borderId="6" xfId="0" applyFont="1" applyFill="1" applyBorder="1" applyAlignment="1">
      <alignment horizontal="right" wrapText="1"/>
    </xf>
    <xf numFmtId="0" fontId="27" fillId="7" borderId="68" xfId="0" applyFont="1" applyFill="1" applyBorder="1" applyAlignment="1">
      <alignment vertical="center"/>
    </xf>
    <xf numFmtId="3" fontId="60" fillId="0" borderId="0" xfId="5" applyNumberFormat="1"/>
    <xf numFmtId="0" fontId="2" fillId="0" borderId="0" xfId="0" applyFont="1" applyAlignment="1">
      <alignment vertical="center" wrapText="1"/>
    </xf>
    <xf numFmtId="6" fontId="11" fillId="0" borderId="0" xfId="0" applyNumberFormat="1" applyFont="1"/>
    <xf numFmtId="0" fontId="11" fillId="0" borderId="4" xfId="0" applyFont="1" applyBorder="1"/>
    <xf numFmtId="6" fontId="2" fillId="0" borderId="0" xfId="0" applyNumberFormat="1" applyFont="1"/>
    <xf numFmtId="0" fontId="37" fillId="0" borderId="8" xfId="0" applyFont="1" applyBorder="1" applyAlignment="1">
      <alignment horizontal="left"/>
    </xf>
    <xf numFmtId="0" fontId="0" fillId="0" borderId="8" xfId="0" applyBorder="1"/>
    <xf numFmtId="0" fontId="0" fillId="0" borderId="10" xfId="0" applyBorder="1"/>
    <xf numFmtId="3" fontId="37" fillId="0" borderId="111" xfId="0" applyNumberFormat="1" applyFont="1" applyBorder="1"/>
    <xf numFmtId="0" fontId="34" fillId="0" borderId="8" xfId="0" applyFont="1" applyBorder="1" applyAlignment="1">
      <alignment horizontal="left"/>
    </xf>
    <xf numFmtId="0" fontId="34" fillId="0" borderId="10" xfId="0" applyFont="1" applyBorder="1"/>
    <xf numFmtId="0" fontId="34" fillId="0" borderId="111" xfId="0" applyFont="1" applyBorder="1"/>
    <xf numFmtId="0" fontId="32" fillId="0" borderId="0" xfId="2" applyFont="1"/>
    <xf numFmtId="0" fontId="0" fillId="0" borderId="0" xfId="0" applyFill="1"/>
    <xf numFmtId="0" fontId="38" fillId="4" borderId="8" xfId="2" applyFont="1" applyFill="1" applyBorder="1"/>
    <xf numFmtId="0" fontId="32" fillId="0" borderId="8" xfId="2" applyFont="1" applyBorder="1"/>
    <xf numFmtId="3" fontId="65" fillId="0" borderId="8" xfId="2" applyNumberFormat="1" applyFont="1" applyBorder="1"/>
    <xf numFmtId="0" fontId="38" fillId="0" borderId="8" xfId="2" applyFont="1" applyBorder="1" applyAlignment="1">
      <alignment horizontal="left"/>
    </xf>
    <xf numFmtId="0" fontId="38" fillId="0" borderId="8" xfId="2" applyFont="1" applyBorder="1"/>
    <xf numFmtId="0" fontId="31" fillId="0" borderId="8" xfId="2" applyFont="1" applyBorder="1"/>
    <xf numFmtId="3" fontId="32" fillId="0" borderId="8" xfId="2" applyNumberFormat="1" applyFont="1" applyBorder="1"/>
    <xf numFmtId="0" fontId="38" fillId="0" borderId="8" xfId="2" applyFont="1" applyBorder="1" applyAlignment="1">
      <alignment horizontal="left" shrinkToFit="1"/>
    </xf>
    <xf numFmtId="3" fontId="62" fillId="0" borderId="8" xfId="2" applyNumberFormat="1" applyFont="1" applyBorder="1"/>
    <xf numFmtId="3" fontId="44" fillId="21" borderId="8" xfId="2" applyNumberFormat="1" applyFont="1" applyFill="1" applyBorder="1"/>
    <xf numFmtId="3" fontId="65" fillId="16" borderId="8" xfId="2" applyNumberFormat="1" applyFont="1" applyFill="1" applyBorder="1"/>
    <xf numFmtId="0" fontId="32" fillId="0" borderId="8" xfId="2" applyFont="1" applyBorder="1" applyAlignment="1">
      <alignment horizontal="center"/>
    </xf>
    <xf numFmtId="169" fontId="32" fillId="0" borderId="8" xfId="2" applyNumberFormat="1" applyFont="1" applyBorder="1" applyAlignment="1">
      <alignment horizontal="center"/>
    </xf>
    <xf numFmtId="0" fontId="32" fillId="0" borderId="8" xfId="2" applyFont="1" applyBorder="1" applyAlignment="1">
      <alignment horizontal="right"/>
    </xf>
    <xf numFmtId="0" fontId="41" fillId="0" borderId="8" xfId="2" applyFont="1" applyBorder="1" applyAlignment="1">
      <alignment vertical="center"/>
    </xf>
    <xf numFmtId="3" fontId="38" fillId="0" borderId="8" xfId="2" applyNumberFormat="1" applyFont="1" applyBorder="1"/>
    <xf numFmtId="3" fontId="60" fillId="0" borderId="8" xfId="5" applyNumberFormat="1" applyBorder="1"/>
    <xf numFmtId="0" fontId="60" fillId="0" borderId="8" xfId="5" applyBorder="1"/>
    <xf numFmtId="3" fontId="62" fillId="0" borderId="8" xfId="6" applyNumberFormat="1" applyFont="1" applyFill="1" applyBorder="1"/>
    <xf numFmtId="3" fontId="62" fillId="0" borderId="9" xfId="6" applyNumberFormat="1" applyFont="1" applyFill="1" applyBorder="1"/>
    <xf numFmtId="0" fontId="75" fillId="21" borderId="112" xfId="2" applyFont="1" applyFill="1" applyBorder="1"/>
    <xf numFmtId="3" fontId="76" fillId="21" borderId="112" xfId="5" applyNumberFormat="1" applyFont="1" applyFill="1" applyBorder="1"/>
    <xf numFmtId="0" fontId="38" fillId="0" borderId="9" xfId="2" applyFont="1" applyBorder="1"/>
    <xf numFmtId="3" fontId="38" fillId="0" borderId="9" xfId="2" applyNumberFormat="1" applyFont="1" applyBorder="1"/>
    <xf numFmtId="0" fontId="38" fillId="0" borderId="9" xfId="2" applyFont="1" applyBorder="1" applyAlignment="1">
      <alignment horizontal="left"/>
    </xf>
    <xf numFmtId="3" fontId="32" fillId="0" borderId="9" xfId="2" applyNumberFormat="1" applyFont="1" applyBorder="1"/>
    <xf numFmtId="0" fontId="78" fillId="21" borderId="112" xfId="2" applyFont="1" applyFill="1" applyBorder="1" applyAlignment="1">
      <alignment horizontal="left"/>
    </xf>
    <xf numFmtId="0" fontId="78" fillId="21" borderId="112" xfId="2" applyFont="1" applyFill="1" applyBorder="1"/>
    <xf numFmtId="3" fontId="79" fillId="21" borderId="112" xfId="5" applyNumberFormat="1" applyFont="1" applyFill="1" applyBorder="1"/>
    <xf numFmtId="3" fontId="77" fillId="21" borderId="112" xfId="2" applyNumberFormat="1" applyFont="1" applyFill="1" applyBorder="1"/>
    <xf numFmtId="3" fontId="81" fillId="21" borderId="112" xfId="2" applyNumberFormat="1" applyFont="1" applyFill="1" applyBorder="1"/>
    <xf numFmtId="0" fontId="38" fillId="0" borderId="117" xfId="2" applyFont="1" applyBorder="1"/>
    <xf numFmtId="0" fontId="31" fillId="21" borderId="112" xfId="2" applyFont="1" applyFill="1" applyBorder="1"/>
    <xf numFmtId="3" fontId="59" fillId="21" borderId="112" xfId="5" applyNumberFormat="1" applyFont="1" applyFill="1" applyBorder="1"/>
    <xf numFmtId="3" fontId="60" fillId="0" borderId="9" xfId="5" applyNumberFormat="1" applyBorder="1"/>
    <xf numFmtId="0" fontId="38" fillId="0" borderId="8" xfId="2" applyFont="1" applyBorder="1" applyAlignment="1">
      <alignment horizontal="right"/>
    </xf>
    <xf numFmtId="3" fontId="65" fillId="0" borderId="9" xfId="2" applyNumberFormat="1" applyFont="1" applyBorder="1"/>
    <xf numFmtId="0" fontId="38" fillId="0" borderId="9" xfId="2" applyFont="1" applyBorder="1" applyAlignment="1">
      <alignment vertical="center"/>
    </xf>
    <xf numFmtId="0" fontId="38" fillId="0" borderId="11" xfId="2" applyFont="1" applyBorder="1" applyAlignment="1">
      <alignment vertical="center"/>
    </xf>
    <xf numFmtId="0" fontId="38" fillId="0" borderId="18" xfId="2" applyFont="1" applyBorder="1" applyAlignment="1">
      <alignment vertical="center"/>
    </xf>
    <xf numFmtId="0" fontId="85" fillId="0" borderId="4" xfId="2" applyFont="1" applyBorder="1" applyAlignment="1">
      <alignment vertical="center"/>
    </xf>
    <xf numFmtId="3" fontId="83" fillId="21" borderId="8" xfId="0" applyNumberFormat="1" applyFont="1" applyFill="1" applyBorder="1"/>
    <xf numFmtId="0" fontId="84" fillId="17" borderId="4" xfId="2" applyFont="1" applyFill="1" applyBorder="1" applyAlignment="1">
      <alignment vertical="center"/>
    </xf>
    <xf numFmtId="3" fontId="83" fillId="21" borderId="112" xfId="0" applyNumberFormat="1" applyFont="1" applyFill="1" applyBorder="1"/>
    <xf numFmtId="0" fontId="87" fillId="0" borderId="8" xfId="2" applyFont="1" applyBorder="1"/>
    <xf numFmtId="0" fontId="87" fillId="0" borderId="9" xfId="2" applyFont="1" applyBorder="1"/>
    <xf numFmtId="3" fontId="87" fillId="0" borderId="9" xfId="2" applyNumberFormat="1" applyFont="1" applyBorder="1"/>
    <xf numFmtId="3" fontId="83" fillId="21" borderId="112" xfId="2" applyNumberFormat="1" applyFont="1" applyFill="1" applyBorder="1"/>
    <xf numFmtId="3" fontId="87" fillId="0" borderId="8" xfId="2" applyNumberFormat="1" applyFont="1" applyBorder="1"/>
    <xf numFmtId="3" fontId="88" fillId="21" borderId="112" xfId="2" applyNumberFormat="1" applyFont="1" applyFill="1" applyBorder="1"/>
    <xf numFmtId="0" fontId="62" fillId="0" borderId="8" xfId="0" applyFont="1" applyBorder="1"/>
    <xf numFmtId="3" fontId="62" fillId="0" borderId="8" xfId="0" applyNumberFormat="1" applyFont="1" applyBorder="1"/>
    <xf numFmtId="3" fontId="73" fillId="21" borderId="112" xfId="0" applyNumberFormat="1" applyFont="1" applyFill="1" applyBorder="1"/>
    <xf numFmtId="3" fontId="89" fillId="21" borderId="112" xfId="0" applyNumberFormat="1" applyFont="1" applyFill="1" applyBorder="1"/>
    <xf numFmtId="0" fontId="87" fillId="0" borderId="9" xfId="2" applyFont="1" applyBorder="1" applyAlignment="1">
      <alignment horizontal="left" vertical="center"/>
    </xf>
    <xf numFmtId="0" fontId="41" fillId="17" borderId="4" xfId="2" applyFont="1" applyFill="1" applyBorder="1" applyAlignment="1">
      <alignment horizontal="left" vertical="center"/>
    </xf>
    <xf numFmtId="0" fontId="41" fillId="17" borderId="4" xfId="2" applyFont="1" applyFill="1" applyBorder="1" applyAlignment="1">
      <alignment vertical="center"/>
    </xf>
    <xf numFmtId="3" fontId="65" fillId="0" borderId="10" xfId="2" applyNumberFormat="1" applyFont="1" applyBorder="1"/>
    <xf numFmtId="3" fontId="32" fillId="0" borderId="10" xfId="2" applyNumberFormat="1" applyFont="1" applyBorder="1"/>
    <xf numFmtId="3" fontId="62" fillId="0" borderId="10" xfId="2" applyNumberFormat="1" applyFont="1" applyBorder="1"/>
    <xf numFmtId="3" fontId="32" fillId="0" borderId="11" xfId="2" applyNumberFormat="1" applyFont="1" applyBorder="1"/>
    <xf numFmtId="3" fontId="81" fillId="21" borderId="113" xfId="2" applyNumberFormat="1" applyFont="1" applyFill="1" applyBorder="1"/>
    <xf numFmtId="0" fontId="38" fillId="0" borderId="12" xfId="2" applyFont="1" applyBorder="1"/>
    <xf numFmtId="0" fontId="32" fillId="0" borderId="12" xfId="2" applyFont="1" applyBorder="1"/>
    <xf numFmtId="0" fontId="32" fillId="0" borderId="12" xfId="2" applyFont="1" applyBorder="1" applyAlignment="1">
      <alignment horizontal="left"/>
    </xf>
    <xf numFmtId="0" fontId="38" fillId="0" borderId="10" xfId="2" applyFont="1" applyBorder="1" applyAlignment="1">
      <alignment vertical="center"/>
    </xf>
    <xf numFmtId="172" fontId="5" fillId="0" borderId="1" xfId="2" applyNumberFormat="1" applyFont="1" applyBorder="1" applyAlignment="1">
      <alignment horizontal="center" vertical="center" wrapText="1"/>
    </xf>
    <xf numFmtId="172" fontId="2" fillId="0" borderId="0" xfId="2" applyNumberFormat="1" applyFont="1"/>
    <xf numFmtId="172" fontId="4" fillId="0" borderId="0" xfId="2" applyNumberFormat="1" applyFont="1" applyAlignment="1">
      <alignment horizontal="center"/>
    </xf>
    <xf numFmtId="172" fontId="2" fillId="0" borderId="0" xfId="2" applyNumberFormat="1" applyFont="1" applyAlignment="1">
      <alignment horizontal="center"/>
    </xf>
    <xf numFmtId="172" fontId="7" fillId="0" borderId="0" xfId="2" applyNumberFormat="1" applyFont="1" applyAlignment="1">
      <alignment horizontal="left"/>
    </xf>
    <xf numFmtId="172" fontId="2" fillId="0" borderId="0" xfId="2" applyNumberFormat="1" applyFont="1" applyBorder="1"/>
    <xf numFmtId="172" fontId="5" fillId="0" borderId="0" xfId="2" applyNumberFormat="1" applyFont="1" applyBorder="1"/>
    <xf numFmtId="172" fontId="2" fillId="0" borderId="0" xfId="2" applyNumberFormat="1" applyFont="1" applyBorder="1" applyAlignment="1"/>
    <xf numFmtId="172" fontId="5" fillId="0" borderId="0" xfId="2" applyNumberFormat="1" applyFont="1" applyBorder="1" applyAlignment="1"/>
    <xf numFmtId="172" fontId="5" fillId="0" borderId="1" xfId="2" applyNumberFormat="1" applyFont="1" applyBorder="1" applyAlignment="1"/>
    <xf numFmtId="172" fontId="2" fillId="0" borderId="0" xfId="2" applyNumberFormat="1" applyFont="1" applyBorder="1" applyAlignment="1">
      <alignment horizontal="center"/>
    </xf>
    <xf numFmtId="172" fontId="5" fillId="0" borderId="0" xfId="2" applyNumberFormat="1" applyFont="1" applyBorder="1" applyAlignment="1">
      <alignment horizontal="right"/>
    </xf>
    <xf numFmtId="172" fontId="9" fillId="0" borderId="0" xfId="0" applyNumberFormat="1" applyFont="1"/>
    <xf numFmtId="10" fontId="2" fillId="0" borderId="123" xfId="0" applyNumberFormat="1" applyFont="1" applyBorder="1"/>
    <xf numFmtId="172" fontId="2" fillId="0" borderId="0" xfId="0" applyNumberFormat="1" applyFont="1" applyBorder="1"/>
    <xf numFmtId="172" fontId="5" fillId="0" borderId="3" xfId="0" applyNumberFormat="1" applyFont="1" applyBorder="1" applyAlignment="1"/>
    <xf numFmtId="172" fontId="11" fillId="0" borderId="8" xfId="0" applyNumberFormat="1" applyFont="1" applyBorder="1"/>
    <xf numFmtId="172" fontId="11" fillId="0" borderId="8" xfId="0" applyNumberFormat="1" applyFont="1" applyBorder="1" applyAlignment="1">
      <alignment vertical="center"/>
    </xf>
    <xf numFmtId="172" fontId="11" fillId="0" borderId="8" xfId="0" applyNumberFormat="1" applyFont="1" applyBorder="1" applyAlignment="1">
      <alignment horizontal="left" vertical="center" indent="1"/>
    </xf>
    <xf numFmtId="172" fontId="11" fillId="0" borderId="10" xfId="0" applyNumberFormat="1" applyFont="1" applyBorder="1"/>
    <xf numFmtId="172" fontId="11" fillId="0" borderId="8" xfId="0" applyNumberFormat="1" applyFont="1" applyBorder="1" applyAlignment="1">
      <alignment horizontal="left" vertical="center" indent="15"/>
    </xf>
    <xf numFmtId="172" fontId="11" fillId="0" borderId="9" xfId="0" applyNumberFormat="1" applyFont="1" applyBorder="1"/>
    <xf numFmtId="172" fontId="11" fillId="0" borderId="11" xfId="0" applyNumberFormat="1" applyFont="1" applyBorder="1"/>
    <xf numFmtId="172" fontId="11" fillId="0" borderId="9" xfId="0" applyNumberFormat="1" applyFont="1" applyBorder="1" applyAlignment="1">
      <alignment horizontal="left" vertical="center" indent="15"/>
    </xf>
    <xf numFmtId="172" fontId="11" fillId="0" borderId="6" xfId="0" applyNumberFormat="1" applyFont="1" applyBorder="1"/>
    <xf numFmtId="172" fontId="11" fillId="0" borderId="18" xfId="0" applyNumberFormat="1" applyFont="1" applyBorder="1"/>
    <xf numFmtId="172" fontId="11" fillId="0" borderId="23" xfId="0" applyNumberFormat="1" applyFont="1" applyBorder="1"/>
    <xf numFmtId="172" fontId="12" fillId="0" borderId="6" xfId="0" applyNumberFormat="1" applyFont="1" applyBorder="1" applyAlignment="1">
      <alignment vertical="center"/>
    </xf>
    <xf numFmtId="172" fontId="14" fillId="0" borderId="8" xfId="0" applyNumberFormat="1" applyFont="1" applyBorder="1"/>
    <xf numFmtId="172" fontId="2" fillId="0" borderId="0" xfId="0" applyNumberFormat="1" applyFont="1" applyAlignment="1">
      <alignment vertical="center"/>
    </xf>
    <xf numFmtId="172" fontId="5" fillId="0" borderId="0" xfId="0" applyNumberFormat="1" applyFont="1" applyBorder="1" applyAlignment="1">
      <alignment horizontal="center" vertical="center"/>
    </xf>
    <xf numFmtId="172" fontId="5" fillId="0" borderId="0" xfId="0" applyNumberFormat="1" applyFont="1" applyAlignment="1">
      <alignment horizontal="center" vertical="center"/>
    </xf>
    <xf numFmtId="172" fontId="2" fillId="0" borderId="6" xfId="0" applyNumberFormat="1" applyFont="1" applyBorder="1" applyAlignment="1">
      <alignment vertical="center"/>
    </xf>
    <xf numFmtId="172" fontId="2" fillId="0" borderId="32" xfId="0" applyNumberFormat="1" applyFont="1" applyBorder="1" applyAlignment="1">
      <alignment horizontal="center" vertical="center"/>
    </xf>
    <xf numFmtId="172" fontId="2" fillId="0" borderId="23" xfId="0" applyNumberFormat="1" applyFont="1" applyBorder="1" applyAlignment="1">
      <alignment vertical="center"/>
    </xf>
    <xf numFmtId="172" fontId="2" fillId="0" borderId="8" xfId="0" applyNumberFormat="1" applyFont="1" applyBorder="1" applyAlignment="1">
      <alignment vertical="center"/>
    </xf>
    <xf numFmtId="172" fontId="2" fillId="0" borderId="8" xfId="0" applyNumberFormat="1" applyFont="1" applyBorder="1" applyAlignment="1">
      <alignment vertical="center" wrapText="1"/>
    </xf>
    <xf numFmtId="172" fontId="2" fillId="0" borderId="10" xfId="0" applyNumberFormat="1" applyFont="1" applyBorder="1" applyAlignment="1">
      <alignment vertical="center"/>
    </xf>
    <xf numFmtId="172" fontId="2" fillId="0" borderId="8" xfId="0" applyNumberFormat="1" applyFont="1" applyBorder="1" applyAlignment="1"/>
    <xf numFmtId="172" fontId="2" fillId="0" borderId="10" xfId="0" applyNumberFormat="1" applyFont="1" applyBorder="1" applyAlignment="1"/>
    <xf numFmtId="172" fontId="2" fillId="0" borderId="7" xfId="0" applyNumberFormat="1" applyFont="1" applyBorder="1" applyAlignment="1">
      <alignment vertical="center"/>
    </xf>
    <xf numFmtId="172" fontId="2" fillId="0" borderId="12" xfId="0" applyNumberFormat="1" applyFont="1" applyBorder="1" applyAlignment="1">
      <alignment vertical="center"/>
    </xf>
    <xf numFmtId="172" fontId="2" fillId="0" borderId="36" xfId="0" applyNumberFormat="1" applyFont="1" applyBorder="1"/>
    <xf numFmtId="172" fontId="2" fillId="0" borderId="37" xfId="0" applyNumberFormat="1" applyFont="1" applyBorder="1"/>
    <xf numFmtId="172" fontId="2" fillId="0" borderId="9" xfId="0" applyNumberFormat="1" applyFont="1" applyBorder="1" applyAlignment="1"/>
    <xf numFmtId="172" fontId="2" fillId="0" borderId="39" xfId="0" applyNumberFormat="1" applyFont="1" applyBorder="1" applyAlignment="1"/>
    <xf numFmtId="172" fontId="5" fillId="0" borderId="21" xfId="0" applyNumberFormat="1" applyFont="1" applyBorder="1" applyAlignment="1"/>
    <xf numFmtId="172" fontId="5" fillId="0" borderId="22" xfId="0" applyNumberFormat="1" applyFont="1" applyBorder="1" applyAlignment="1"/>
    <xf numFmtId="172" fontId="5" fillId="0" borderId="41" xfId="0" applyNumberFormat="1" applyFont="1" applyBorder="1" applyAlignment="1"/>
    <xf numFmtId="172" fontId="5" fillId="0" borderId="38" xfId="0" applyNumberFormat="1" applyFont="1" applyBorder="1" applyAlignment="1"/>
    <xf numFmtId="172" fontId="5" fillId="0" borderId="42" xfId="0" applyNumberFormat="1" applyFont="1" applyBorder="1" applyAlignment="1">
      <alignment horizontal="left" vertical="center"/>
    </xf>
    <xf numFmtId="172" fontId="5" fillId="0" borderId="43" xfId="0" applyNumberFormat="1" applyFont="1" applyBorder="1" applyAlignment="1">
      <alignment horizontal="left" vertical="center"/>
    </xf>
    <xf numFmtId="172" fontId="2" fillId="0" borderId="21" xfId="0" applyNumberFormat="1" applyFont="1" applyBorder="1" applyAlignment="1">
      <alignment vertical="center"/>
    </xf>
    <xf numFmtId="172" fontId="2" fillId="0" borderId="26" xfId="0" applyNumberFormat="1" applyFont="1" applyBorder="1" applyAlignment="1">
      <alignment vertical="center"/>
    </xf>
    <xf numFmtId="172" fontId="2" fillId="0" borderId="30" xfId="0" applyNumberFormat="1" applyFont="1" applyBorder="1" applyAlignment="1">
      <alignment vertical="center"/>
    </xf>
    <xf numFmtId="172" fontId="5" fillId="0" borderId="27" xfId="0" applyNumberFormat="1" applyFont="1" applyBorder="1" applyAlignment="1"/>
    <xf numFmtId="172" fontId="2" fillId="0" borderId="38" xfId="0" applyNumberFormat="1" applyFont="1" applyBorder="1" applyAlignment="1"/>
    <xf numFmtId="172" fontId="2" fillId="0" borderId="43" xfId="0" applyNumberFormat="1" applyFont="1" applyBorder="1" applyAlignment="1"/>
    <xf numFmtId="172" fontId="2" fillId="0" borderId="44" xfId="0" applyNumberFormat="1" applyFont="1" applyBorder="1" applyAlignment="1"/>
    <xf numFmtId="172" fontId="5" fillId="0" borderId="0" xfId="0" applyNumberFormat="1" applyFont="1" applyAlignment="1">
      <alignment vertical="center"/>
    </xf>
    <xf numFmtId="172" fontId="2" fillId="0" borderId="23" xfId="0" applyNumberFormat="1" applyFont="1" applyBorder="1" applyAlignment="1">
      <alignment horizontal="right" vertical="center" wrapText="1"/>
    </xf>
    <xf numFmtId="172" fontId="2" fillId="0" borderId="32" xfId="0" applyNumberFormat="1" applyFont="1" applyBorder="1" applyAlignment="1">
      <alignment horizontal="right" vertical="center"/>
    </xf>
    <xf numFmtId="172" fontId="2" fillId="0" borderId="6" xfId="0" applyNumberFormat="1" applyFont="1" applyBorder="1" applyAlignment="1">
      <alignment horizontal="left" vertical="center"/>
    </xf>
    <xf numFmtId="172" fontId="2" fillId="0" borderId="6" xfId="0" applyNumberFormat="1" applyFont="1" applyBorder="1" applyAlignment="1">
      <alignment horizontal="right" vertical="center"/>
    </xf>
    <xf numFmtId="172" fontId="2" fillId="0" borderId="8" xfId="0" applyNumberFormat="1" applyFont="1" applyBorder="1" applyAlignment="1">
      <alignment horizontal="right" vertical="center" wrapText="1"/>
    </xf>
    <xf numFmtId="172" fontId="2" fillId="0" borderId="34" xfId="0" applyNumberFormat="1" applyFont="1" applyBorder="1" applyAlignment="1">
      <alignment horizontal="center" vertical="center"/>
    </xf>
    <xf numFmtId="172" fontId="2" fillId="0" borderId="8" xfId="0" applyNumberFormat="1" applyFont="1" applyBorder="1" applyAlignment="1">
      <alignment wrapText="1"/>
    </xf>
    <xf numFmtId="172" fontId="2" fillId="0" borderId="10" xfId="0" applyNumberFormat="1" applyFont="1" applyBorder="1" applyAlignment="1">
      <alignment wrapText="1"/>
    </xf>
    <xf numFmtId="172" fontId="2" fillId="0" borderId="9" xfId="0" applyNumberFormat="1" applyFont="1" applyBorder="1" applyAlignment="1" applyProtection="1">
      <alignment horizontal="center" wrapText="1"/>
      <protection locked="0"/>
    </xf>
    <xf numFmtId="172" fontId="2" fillId="0" borderId="2" xfId="0" applyNumberFormat="1" applyFont="1" applyBorder="1" applyAlignment="1" applyProtection="1">
      <alignment horizontal="center" wrapText="1"/>
      <protection locked="0"/>
    </xf>
    <xf numFmtId="172" fontId="2" fillId="0" borderId="11" xfId="0" applyNumberFormat="1" applyFont="1" applyBorder="1" applyAlignment="1" applyProtection="1">
      <alignment horizontal="center" wrapText="1"/>
      <protection locked="0"/>
    </xf>
    <xf numFmtId="172" fontId="2" fillId="0" borderId="46" xfId="0" applyNumberFormat="1" applyFont="1" applyBorder="1" applyAlignment="1">
      <alignment horizontal="center" vertical="center"/>
    </xf>
    <xf numFmtId="172" fontId="2" fillId="0" borderId="47" xfId="0" applyNumberFormat="1" applyFont="1" applyBorder="1"/>
    <xf numFmtId="172" fontId="2" fillId="0" borderId="0" xfId="0" applyNumberFormat="1" applyFont="1" applyBorder="1" applyAlignment="1"/>
    <xf numFmtId="172" fontId="2" fillId="0" borderId="48" xfId="0" applyNumberFormat="1" applyFont="1" applyBorder="1" applyAlignment="1"/>
    <xf numFmtId="172" fontId="2" fillId="0" borderId="7" xfId="0" applyNumberFormat="1" applyFont="1" applyBorder="1" applyAlignment="1" applyProtection="1">
      <alignment horizontal="center" wrapText="1"/>
      <protection locked="0"/>
    </xf>
    <xf numFmtId="172" fontId="2" fillId="0" borderId="0" xfId="0" applyNumberFormat="1" applyFont="1" applyBorder="1" applyAlignment="1" applyProtection="1">
      <alignment horizontal="center" wrapText="1"/>
      <protection locked="0"/>
    </xf>
    <xf numFmtId="172" fontId="2" fillId="0" borderId="27" xfId="0" applyNumberFormat="1" applyFont="1" applyBorder="1" applyAlignment="1" applyProtection="1">
      <alignment horizontal="center" wrapText="1"/>
      <protection locked="0"/>
    </xf>
    <xf numFmtId="172" fontId="2" fillId="0" borderId="36" xfId="0" applyNumberFormat="1" applyFont="1" applyBorder="1" applyAlignment="1">
      <alignment horizontal="center" vertical="center"/>
    </xf>
    <xf numFmtId="172" fontId="5" fillId="0" borderId="21" xfId="0" applyNumberFormat="1" applyFont="1" applyBorder="1" applyAlignment="1">
      <alignment wrapText="1"/>
    </xf>
    <xf numFmtId="172" fontId="5" fillId="0" borderId="22" xfId="0" applyNumberFormat="1" applyFont="1" applyBorder="1" applyAlignment="1">
      <alignment wrapText="1"/>
    </xf>
    <xf numFmtId="172" fontId="5" fillId="0" borderId="51" xfId="0" applyNumberFormat="1" applyFont="1" applyBorder="1" applyAlignment="1">
      <alignment wrapText="1"/>
    </xf>
    <xf numFmtId="172" fontId="5" fillId="0" borderId="50" xfId="0" applyNumberFormat="1" applyFont="1" applyBorder="1" applyAlignment="1">
      <alignment wrapText="1"/>
    </xf>
    <xf numFmtId="172" fontId="5" fillId="0" borderId="45" xfId="0" applyNumberFormat="1" applyFont="1" applyBorder="1" applyAlignment="1">
      <alignment wrapText="1"/>
    </xf>
    <xf numFmtId="172" fontId="6" fillId="0" borderId="52" xfId="0" applyNumberFormat="1" applyFont="1" applyBorder="1" applyAlignment="1">
      <alignment horizontal="left"/>
    </xf>
    <xf numFmtId="172" fontId="6" fillId="0" borderId="1" xfId="0" applyNumberFormat="1" applyFont="1" applyBorder="1" applyAlignment="1">
      <alignment horizontal="left"/>
    </xf>
    <xf numFmtId="172" fontId="2" fillId="0" borderId="6" xfId="0" applyNumberFormat="1" applyFont="1" applyBorder="1" applyAlignment="1"/>
    <xf numFmtId="172" fontId="2" fillId="0" borderId="18" xfId="0" applyNumberFormat="1" applyFont="1" applyBorder="1" applyAlignment="1"/>
    <xf numFmtId="172" fontId="2" fillId="0" borderId="33" xfId="0" applyNumberFormat="1" applyFont="1" applyBorder="1" applyAlignment="1"/>
    <xf numFmtId="172" fontId="2" fillId="0" borderId="35" xfId="0" applyNumberFormat="1" applyFont="1" applyBorder="1" applyAlignment="1"/>
    <xf numFmtId="172" fontId="6" fillId="0" borderId="7" xfId="0" applyNumberFormat="1" applyFont="1" applyBorder="1" applyAlignment="1">
      <alignment wrapText="1"/>
    </xf>
    <xf numFmtId="172" fontId="6" fillId="0" borderId="0" xfId="0" applyNumberFormat="1" applyFont="1" applyBorder="1" applyAlignment="1">
      <alignment wrapText="1"/>
    </xf>
    <xf numFmtId="172" fontId="6" fillId="0" borderId="24" xfId="0" applyNumberFormat="1" applyFont="1" applyBorder="1" applyAlignment="1">
      <alignment wrapText="1"/>
    </xf>
    <xf numFmtId="172" fontId="2" fillId="0" borderId="46" xfId="0" applyNumberFormat="1" applyFont="1" applyBorder="1"/>
    <xf numFmtId="172" fontId="2" fillId="0" borderId="2" xfId="0" applyNumberFormat="1" applyFont="1" applyBorder="1"/>
    <xf numFmtId="172" fontId="2" fillId="0" borderId="11" xfId="0" applyNumberFormat="1" applyFont="1" applyBorder="1" applyAlignment="1"/>
    <xf numFmtId="172" fontId="5" fillId="0" borderId="30" xfId="0" applyNumberFormat="1" applyFont="1" applyBorder="1" applyAlignment="1"/>
    <xf numFmtId="172" fontId="2" fillId="0" borderId="6" xfId="0" applyNumberFormat="1" applyFont="1" applyBorder="1" applyAlignment="1">
      <alignment wrapText="1"/>
    </xf>
    <xf numFmtId="172" fontId="2" fillId="0" borderId="18" xfId="0" applyNumberFormat="1" applyFont="1" applyBorder="1" applyAlignment="1">
      <alignment wrapText="1"/>
    </xf>
    <xf numFmtId="172" fontId="2" fillId="0" borderId="52" xfId="0" applyNumberFormat="1" applyFont="1" applyBorder="1"/>
    <xf numFmtId="172" fontId="2" fillId="0" borderId="55" xfId="0" applyNumberFormat="1" applyFont="1" applyBorder="1"/>
    <xf numFmtId="172" fontId="2" fillId="0" borderId="9" xfId="0" applyNumberFormat="1" applyFont="1" applyBorder="1" applyAlignment="1">
      <alignment wrapText="1"/>
    </xf>
    <xf numFmtId="172" fontId="2" fillId="0" borderId="11" xfId="0" applyNumberFormat="1" applyFont="1" applyBorder="1" applyAlignment="1">
      <alignment wrapText="1"/>
    </xf>
    <xf numFmtId="172" fontId="10" fillId="0" borderId="21" xfId="0" applyNumberFormat="1" applyFont="1" applyBorder="1" applyAlignment="1">
      <alignment vertical="center"/>
    </xf>
    <xf numFmtId="172" fontId="10" fillId="0" borderId="22" xfId="0" applyNumberFormat="1" applyFont="1" applyBorder="1" applyAlignment="1">
      <alignment vertical="center"/>
    </xf>
    <xf numFmtId="172" fontId="10" fillId="0" borderId="30" xfId="0" applyNumberFormat="1" applyFont="1" applyBorder="1" applyAlignment="1">
      <alignment vertical="center"/>
    </xf>
    <xf numFmtId="172" fontId="2" fillId="0" borderId="0" xfId="0" applyNumberFormat="1" applyFont="1" applyAlignment="1">
      <alignment horizontal="center"/>
    </xf>
    <xf numFmtId="172" fontId="52" fillId="0" borderId="0" xfId="3" applyNumberFormat="1" applyFont="1" applyFill="1" applyAlignment="1">
      <alignment horizontal="right"/>
    </xf>
    <xf numFmtId="172" fontId="2" fillId="0" borderId="0" xfId="3" applyNumberFormat="1" applyFont="1" applyAlignment="1">
      <alignment horizontal="right"/>
    </xf>
    <xf numFmtId="172" fontId="5" fillId="0" borderId="0" xfId="3" applyNumberFormat="1" applyFont="1" applyAlignment="1">
      <alignment horizontal="right"/>
    </xf>
    <xf numFmtId="172" fontId="5" fillId="0" borderId="13" xfId="3" applyNumberFormat="1" applyFont="1" applyBorder="1" applyAlignment="1">
      <alignment horizontal="right" vertical="center"/>
    </xf>
    <xf numFmtId="172" fontId="5" fillId="0" borderId="59" xfId="3" applyNumberFormat="1" applyFont="1" applyBorder="1" applyAlignment="1">
      <alignment horizontal="right" vertical="center"/>
    </xf>
    <xf numFmtId="172" fontId="2" fillId="16" borderId="6" xfId="3" applyNumberFormat="1" applyFont="1" applyFill="1" applyBorder="1" applyAlignment="1">
      <alignment horizontal="right" vertical="center"/>
    </xf>
    <xf numFmtId="172" fontId="2" fillId="16" borderId="8" xfId="3" applyNumberFormat="1" applyFont="1" applyFill="1" applyBorder="1" applyAlignment="1">
      <alignment horizontal="right" vertical="center"/>
    </xf>
    <xf numFmtId="172" fontId="2" fillId="16" borderId="8" xfId="3" applyNumberFormat="1" applyFont="1" applyFill="1" applyBorder="1" applyAlignment="1">
      <alignment horizontal="right"/>
    </xf>
    <xf numFmtId="172" fontId="5" fillId="16" borderId="8" xfId="3" applyNumberFormat="1" applyFont="1" applyFill="1" applyBorder="1" applyAlignment="1">
      <alignment horizontal="right" vertical="center"/>
    </xf>
    <xf numFmtId="172" fontId="5" fillId="16" borderId="8" xfId="3" applyNumberFormat="1" applyFont="1" applyFill="1" applyBorder="1" applyAlignment="1">
      <alignment horizontal="right"/>
    </xf>
    <xf numFmtId="172" fontId="2" fillId="16" borderId="5" xfId="3" applyNumberFormat="1" applyFont="1" applyFill="1" applyBorder="1" applyAlignment="1">
      <alignment horizontal="right"/>
    </xf>
    <xf numFmtId="172" fontId="2" fillId="0" borderId="15" xfId="3" applyNumberFormat="1" applyFont="1" applyBorder="1" applyAlignment="1">
      <alignment horizontal="right"/>
    </xf>
    <xf numFmtId="172" fontId="2" fillId="16" borderId="0" xfId="3" applyNumberFormat="1" applyFont="1" applyFill="1" applyAlignment="1">
      <alignment horizontal="right"/>
    </xf>
    <xf numFmtId="172" fontId="5" fillId="16" borderId="68" xfId="3" applyNumberFormat="1" applyFont="1" applyFill="1" applyBorder="1" applyAlignment="1">
      <alignment horizontal="right"/>
    </xf>
    <xf numFmtId="172" fontId="5" fillId="16" borderId="69" xfId="3" applyNumberFormat="1" applyFont="1" applyFill="1" applyBorder="1" applyAlignment="1">
      <alignment horizontal="right"/>
    </xf>
    <xf numFmtId="172" fontId="2" fillId="16" borderId="6" xfId="3" applyNumberFormat="1" applyFont="1" applyFill="1" applyBorder="1" applyAlignment="1">
      <alignment horizontal="right"/>
    </xf>
    <xf numFmtId="172" fontId="2" fillId="0" borderId="62" xfId="3" applyNumberFormat="1" applyFont="1" applyBorder="1" applyAlignment="1">
      <alignment horizontal="right"/>
    </xf>
    <xf numFmtId="172" fontId="5" fillId="16" borderId="20" xfId="3" applyNumberFormat="1" applyFont="1" applyFill="1" applyBorder="1" applyAlignment="1">
      <alignment horizontal="right"/>
    </xf>
    <xf numFmtId="172" fontId="5" fillId="16" borderId="74" xfId="3" applyNumberFormat="1" applyFont="1" applyFill="1" applyBorder="1" applyAlignment="1">
      <alignment horizontal="right"/>
    </xf>
    <xf numFmtId="172" fontId="5" fillId="16" borderId="62" xfId="3" applyNumberFormat="1" applyFont="1" applyFill="1" applyBorder="1" applyAlignment="1">
      <alignment horizontal="right"/>
    </xf>
    <xf numFmtId="0" fontId="91" fillId="0" borderId="0" xfId="0" applyFont="1"/>
    <xf numFmtId="0" fontId="92" fillId="0" borderId="0" xfId="0" applyFont="1"/>
    <xf numFmtId="3" fontId="76" fillId="21" borderId="127" xfId="5" applyNumberFormat="1" applyFont="1" applyFill="1" applyBorder="1"/>
    <xf numFmtId="3" fontId="83" fillId="21" borderId="127" xfId="5" applyNumberFormat="1" applyFont="1" applyFill="1" applyBorder="1"/>
    <xf numFmtId="172" fontId="5" fillId="21" borderId="8" xfId="2" applyNumberFormat="1" applyFont="1" applyFill="1" applyBorder="1" applyAlignment="1">
      <alignment horizontal="center" vertical="center" wrapText="1"/>
    </xf>
    <xf numFmtId="172" fontId="5" fillId="23" borderId="8" xfId="2" applyNumberFormat="1" applyFont="1" applyFill="1" applyBorder="1" applyAlignment="1">
      <alignment horizontal="center" vertical="center" wrapText="1"/>
    </xf>
    <xf numFmtId="172" fontId="5" fillId="22" borderId="8" xfId="2" applyNumberFormat="1" applyFont="1" applyFill="1" applyBorder="1" applyAlignment="1">
      <alignment horizontal="center" vertical="center" wrapText="1"/>
    </xf>
    <xf numFmtId="10" fontId="5" fillId="0" borderId="8" xfId="2" applyNumberFormat="1" applyFont="1" applyBorder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/>
    </xf>
    <xf numFmtId="10" fontId="5" fillId="0" borderId="10" xfId="2" applyNumberFormat="1" applyFont="1" applyBorder="1" applyAlignment="1">
      <alignment horizontal="center" vertical="center" wrapText="1"/>
    </xf>
    <xf numFmtId="3" fontId="2" fillId="21" borderId="8" xfId="6" applyNumberFormat="1" applyFont="1" applyFill="1" applyBorder="1" applyAlignment="1">
      <alignment horizontal="right" wrapText="1"/>
    </xf>
    <xf numFmtId="0" fontId="2" fillId="0" borderId="0" xfId="2" applyFont="1" applyAlignment="1">
      <alignment horizontal="center" vertical="center"/>
    </xf>
    <xf numFmtId="172" fontId="2" fillId="21" borderId="0" xfId="2" applyNumberFormat="1" applyFont="1" applyFill="1" applyAlignment="1">
      <alignment vertical="center"/>
    </xf>
    <xf numFmtId="172" fontId="2" fillId="23" borderId="0" xfId="2" applyNumberFormat="1" applyFont="1" applyFill="1" applyAlignment="1">
      <alignment vertical="center"/>
    </xf>
    <xf numFmtId="172" fontId="2" fillId="22" borderId="0" xfId="2" applyNumberFormat="1" applyFont="1" applyFill="1" applyAlignment="1">
      <alignment vertical="center"/>
    </xf>
    <xf numFmtId="10" fontId="2" fillId="0" borderId="0" xfId="2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2" fontId="7" fillId="22" borderId="0" xfId="2" applyNumberFormat="1" applyFont="1" applyFill="1" applyAlignment="1">
      <alignment vertical="center"/>
    </xf>
    <xf numFmtId="0" fontId="6" fillId="0" borderId="0" xfId="2" applyFont="1" applyAlignment="1">
      <alignment vertical="center"/>
    </xf>
    <xf numFmtId="0" fontId="26" fillId="0" borderId="8" xfId="0" applyFont="1" applyBorder="1"/>
    <xf numFmtId="3" fontId="26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 wrapText="1"/>
    </xf>
    <xf numFmtId="172" fontId="2" fillId="21" borderId="8" xfId="0" applyNumberFormat="1" applyFont="1" applyFill="1" applyBorder="1" applyAlignment="1">
      <alignment vertical="center"/>
    </xf>
    <xf numFmtId="172" fontId="2" fillId="23" borderId="8" xfId="0" applyNumberFormat="1" applyFont="1" applyFill="1" applyBorder="1" applyAlignment="1">
      <alignment vertical="center"/>
    </xf>
    <xf numFmtId="172" fontId="2" fillId="22" borderId="8" xfId="0" applyNumberFormat="1" applyFont="1" applyFill="1" applyBorder="1" applyAlignment="1">
      <alignment vertical="center"/>
    </xf>
    <xf numFmtId="10" fontId="2" fillId="0" borderId="8" xfId="2" applyNumberFormat="1" applyFont="1" applyBorder="1" applyAlignment="1">
      <alignment vertical="center"/>
    </xf>
    <xf numFmtId="165" fontId="26" fillId="0" borderId="0" xfId="0" applyNumberFormat="1" applyFont="1"/>
    <xf numFmtId="176" fontId="2" fillId="0" borderId="8" xfId="0" applyNumberFormat="1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horizontal="center" vertical="center"/>
    </xf>
    <xf numFmtId="0" fontId="26" fillId="0" borderId="0" xfId="0" applyFont="1" applyFill="1"/>
    <xf numFmtId="0" fontId="94" fillId="0" borderId="0" xfId="0" applyFont="1"/>
    <xf numFmtId="3" fontId="26" fillId="21" borderId="8" xfId="0" applyNumberFormat="1" applyFont="1" applyFill="1" applyBorder="1" applyAlignment="1">
      <alignment horizontal="center" vertical="center"/>
    </xf>
    <xf numFmtId="172" fontId="2" fillId="23" borderId="7" xfId="0" applyNumberFormat="1" applyFont="1" applyFill="1" applyBorder="1" applyAlignment="1">
      <alignment vertical="center"/>
    </xf>
    <xf numFmtId="172" fontId="2" fillId="22" borderId="7" xfId="0" applyNumberFormat="1" applyFont="1" applyFill="1" applyBorder="1" applyAlignment="1">
      <alignment vertical="center"/>
    </xf>
    <xf numFmtId="172" fontId="2" fillId="21" borderId="13" xfId="0" applyNumberFormat="1" applyFont="1" applyFill="1" applyBorder="1" applyAlignment="1">
      <alignment vertical="center"/>
    </xf>
    <xf numFmtId="172" fontId="2" fillId="23" borderId="13" xfId="0" applyNumberFormat="1" applyFont="1" applyFill="1" applyBorder="1" applyAlignment="1">
      <alignment vertical="center"/>
    </xf>
    <xf numFmtId="172" fontId="2" fillId="22" borderId="13" xfId="0" applyNumberFormat="1" applyFont="1" applyFill="1" applyBorder="1" applyAlignment="1">
      <alignment vertical="center"/>
    </xf>
    <xf numFmtId="172" fontId="2" fillId="21" borderId="6" xfId="0" applyNumberFormat="1" applyFont="1" applyFill="1" applyBorder="1" applyAlignment="1">
      <alignment vertical="center"/>
    </xf>
    <xf numFmtId="172" fontId="2" fillId="23" borderId="6" xfId="0" applyNumberFormat="1" applyFont="1" applyFill="1" applyBorder="1" applyAlignment="1">
      <alignment vertical="center"/>
    </xf>
    <xf numFmtId="172" fontId="2" fillId="22" borderId="6" xfId="0" applyNumberFormat="1" applyFont="1" applyFill="1" applyBorder="1" applyAlignment="1">
      <alignment vertical="center"/>
    </xf>
    <xf numFmtId="172" fontId="2" fillId="21" borderId="9" xfId="0" applyNumberFormat="1" applyFont="1" applyFill="1" applyBorder="1" applyAlignment="1">
      <alignment vertical="center"/>
    </xf>
    <xf numFmtId="172" fontId="2" fillId="23" borderId="9" xfId="0" applyNumberFormat="1" applyFont="1" applyFill="1" applyBorder="1" applyAlignment="1">
      <alignment vertical="center"/>
    </xf>
    <xf numFmtId="172" fontId="2" fillId="22" borderId="9" xfId="0" applyNumberFormat="1" applyFont="1" applyFill="1" applyBorder="1" applyAlignment="1">
      <alignment vertical="center"/>
    </xf>
    <xf numFmtId="3" fontId="26" fillId="0" borderId="9" xfId="0" applyNumberFormat="1" applyFont="1" applyBorder="1" applyAlignment="1">
      <alignment horizontal="center" vertical="center"/>
    </xf>
    <xf numFmtId="3" fontId="26" fillId="0" borderId="13" xfId="0" applyNumberFormat="1" applyFont="1" applyBorder="1" applyAlignment="1">
      <alignment horizontal="center" vertical="center"/>
    </xf>
    <xf numFmtId="3" fontId="26" fillId="0" borderId="6" xfId="0" applyNumberFormat="1" applyFont="1" applyBorder="1" applyAlignment="1">
      <alignment horizontal="center" vertical="center"/>
    </xf>
    <xf numFmtId="0" fontId="5" fillId="0" borderId="0" xfId="2" applyFont="1" applyAlignment="1">
      <alignment horizontal="right" vertical="center"/>
    </xf>
    <xf numFmtId="172" fontId="5" fillId="21" borderId="0" xfId="0" applyNumberFormat="1" applyFont="1" applyFill="1" applyBorder="1" applyAlignment="1">
      <alignment vertical="center"/>
    </xf>
    <xf numFmtId="172" fontId="5" fillId="23" borderId="0" xfId="0" applyNumberFormat="1" applyFont="1" applyFill="1" applyBorder="1" applyAlignment="1">
      <alignment vertical="center"/>
    </xf>
    <xf numFmtId="172" fontId="5" fillId="22" borderId="0" xfId="0" applyNumberFormat="1" applyFont="1" applyFill="1" applyBorder="1" applyAlignment="1">
      <alignment vertical="center"/>
    </xf>
    <xf numFmtId="10" fontId="5" fillId="0" borderId="0" xfId="2" applyNumberFormat="1" applyFont="1" applyBorder="1" applyAlignment="1">
      <alignment vertical="center"/>
    </xf>
    <xf numFmtId="0" fontId="2" fillId="0" borderId="0" xfId="2" applyFont="1" applyAlignment="1">
      <alignment horizontal="right" vertical="center"/>
    </xf>
    <xf numFmtId="166" fontId="72" fillId="0" borderId="0" xfId="0" applyNumberFormat="1" applyFont="1" applyBorder="1" applyAlignment="1">
      <alignment horizontal="right" vertical="center" wrapText="1"/>
    </xf>
    <xf numFmtId="166" fontId="5" fillId="0" borderId="0" xfId="0" applyNumberFormat="1" applyFont="1" applyBorder="1" applyAlignment="1">
      <alignment horizontal="right" vertical="center" wrapText="1"/>
    </xf>
    <xf numFmtId="172" fontId="6" fillId="21" borderId="0" xfId="0" applyNumberFormat="1" applyFont="1" applyFill="1" applyBorder="1" applyAlignment="1">
      <alignment vertical="center"/>
    </xf>
    <xf numFmtId="172" fontId="6" fillId="23" borderId="0" xfId="0" applyNumberFormat="1" applyFont="1" applyFill="1" applyBorder="1" applyAlignment="1">
      <alignment vertical="center"/>
    </xf>
    <xf numFmtId="172" fontId="72" fillId="22" borderId="0" xfId="0" applyNumberFormat="1" applyFont="1" applyFill="1" applyBorder="1" applyAlignment="1">
      <alignment vertical="center"/>
    </xf>
    <xf numFmtId="10" fontId="6" fillId="0" borderId="0" xfId="2" applyNumberFormat="1" applyFont="1" applyBorder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172" fontId="5" fillId="21" borderId="8" xfId="2" applyNumberFormat="1" applyFont="1" applyFill="1" applyBorder="1" applyAlignment="1">
      <alignment vertical="center"/>
    </xf>
    <xf numFmtId="172" fontId="5" fillId="23" borderId="8" xfId="2" applyNumberFormat="1" applyFont="1" applyFill="1" applyBorder="1" applyAlignment="1">
      <alignment vertical="center"/>
    </xf>
    <xf numFmtId="172" fontId="5" fillId="22" borderId="8" xfId="2" applyNumberFormat="1" applyFont="1" applyFill="1" applyBorder="1" applyAlignment="1">
      <alignment vertical="center"/>
    </xf>
    <xf numFmtId="0" fontId="6" fillId="0" borderId="0" xfId="2" applyFont="1" applyAlignment="1">
      <alignment horizontal="right" vertical="center"/>
    </xf>
    <xf numFmtId="172" fontId="6" fillId="21" borderId="0" xfId="2" applyNumberFormat="1" applyFont="1" applyFill="1" applyBorder="1" applyAlignment="1">
      <alignment vertical="center"/>
    </xf>
    <xf numFmtId="172" fontId="6" fillId="23" borderId="0" xfId="2" applyNumberFormat="1" applyFont="1" applyFill="1" applyBorder="1" applyAlignment="1">
      <alignment vertical="center"/>
    </xf>
    <xf numFmtId="172" fontId="6" fillId="22" borderId="0" xfId="2" applyNumberFormat="1" applyFont="1" applyFill="1" applyBorder="1" applyAlignment="1">
      <alignment vertical="center"/>
    </xf>
    <xf numFmtId="10" fontId="6" fillId="0" borderId="0" xfId="2" applyNumberFormat="1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172" fontId="6" fillId="21" borderId="2" xfId="0" applyNumberFormat="1" applyFont="1" applyFill="1" applyBorder="1" applyAlignment="1">
      <alignment vertical="center"/>
    </xf>
    <xf numFmtId="172" fontId="6" fillId="23" borderId="2" xfId="0" applyNumberFormat="1" applyFont="1" applyFill="1" applyBorder="1" applyAlignment="1">
      <alignment vertical="center"/>
    </xf>
    <xf numFmtId="172" fontId="6" fillId="22" borderId="2" xfId="0" applyNumberFormat="1" applyFont="1" applyFill="1" applyBorder="1" applyAlignment="1">
      <alignment vertical="center"/>
    </xf>
    <xf numFmtId="10" fontId="6" fillId="0" borderId="2" xfId="2" applyNumberFormat="1" applyFont="1" applyBorder="1" applyAlignment="1">
      <alignment vertical="center"/>
    </xf>
    <xf numFmtId="172" fontId="6" fillId="22" borderId="0" xfId="0" applyNumberFormat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0" xfId="2" applyFont="1" applyBorder="1" applyAlignment="1">
      <alignment horizontal="left" vertical="center"/>
    </xf>
    <xf numFmtId="172" fontId="2" fillId="21" borderId="0" xfId="0" applyNumberFormat="1" applyFont="1" applyFill="1" applyBorder="1" applyAlignment="1">
      <alignment vertical="center"/>
    </xf>
    <xf numFmtId="172" fontId="2" fillId="23" borderId="0" xfId="0" applyNumberFormat="1" applyFont="1" applyFill="1" applyBorder="1" applyAlignment="1">
      <alignment vertical="center"/>
    </xf>
    <xf numFmtId="172" fontId="2" fillId="22" borderId="0" xfId="0" applyNumberFormat="1" applyFont="1" applyFill="1" applyBorder="1" applyAlignment="1">
      <alignment vertical="center"/>
    </xf>
    <xf numFmtId="166" fontId="6" fillId="0" borderId="2" xfId="0" applyNumberFormat="1" applyFont="1" applyBorder="1" applyAlignment="1">
      <alignment horizontal="right" vertical="center" wrapText="1"/>
    </xf>
    <xf numFmtId="172" fontId="6" fillId="21" borderId="2" xfId="2" applyNumberFormat="1" applyFont="1" applyFill="1" applyBorder="1" applyAlignment="1">
      <alignment vertical="center"/>
    </xf>
    <xf numFmtId="172" fontId="6" fillId="23" borderId="2" xfId="2" applyNumberFormat="1" applyFont="1" applyFill="1" applyBorder="1" applyAlignment="1">
      <alignment vertical="center"/>
    </xf>
    <xf numFmtId="172" fontId="6" fillId="22" borderId="2" xfId="2" applyNumberFormat="1" applyFont="1" applyFill="1" applyBorder="1" applyAlignment="1">
      <alignment vertical="center"/>
    </xf>
    <xf numFmtId="172" fontId="5" fillId="21" borderId="0" xfId="2" applyNumberFormat="1" applyFont="1" applyFill="1" applyBorder="1" applyAlignment="1">
      <alignment vertical="center"/>
    </xf>
    <xf numFmtId="172" fontId="5" fillId="23" borderId="0" xfId="2" applyNumberFormat="1" applyFont="1" applyFill="1" applyBorder="1" applyAlignment="1">
      <alignment vertical="center"/>
    </xf>
    <xf numFmtId="172" fontId="5" fillId="22" borderId="0" xfId="2" applyNumberFormat="1" applyFont="1" applyFill="1" applyBorder="1" applyAlignment="1">
      <alignment vertical="center"/>
    </xf>
    <xf numFmtId="166" fontId="5" fillId="0" borderId="0" xfId="0" applyNumberFormat="1" applyFont="1" applyBorder="1" applyAlignment="1">
      <alignment vertical="center" wrapText="1"/>
    </xf>
    <xf numFmtId="10" fontId="2" fillId="0" borderId="10" xfId="2" applyNumberFormat="1" applyFont="1" applyBorder="1" applyAlignment="1">
      <alignment vertical="center"/>
    </xf>
    <xf numFmtId="3" fontId="26" fillId="0" borderId="0" xfId="0" applyNumberFormat="1" applyFont="1"/>
    <xf numFmtId="10" fontId="2" fillId="0" borderId="10" xfId="2" applyNumberFormat="1" applyFont="1" applyFill="1" applyBorder="1" applyAlignment="1">
      <alignment vertical="center"/>
    </xf>
    <xf numFmtId="176" fontId="2" fillId="0" borderId="9" xfId="0" applyNumberFormat="1" applyFont="1" applyBorder="1" applyAlignment="1">
      <alignment horizontal="center" vertical="center" wrapText="1"/>
    </xf>
    <xf numFmtId="172" fontId="2" fillId="21" borderId="5" xfId="0" applyNumberFormat="1" applyFont="1" applyFill="1" applyBorder="1" applyAlignment="1">
      <alignment vertical="center"/>
    </xf>
    <xf numFmtId="172" fontId="2" fillId="23" borderId="5" xfId="0" applyNumberFormat="1" applyFont="1" applyFill="1" applyBorder="1" applyAlignment="1">
      <alignment vertical="center"/>
    </xf>
    <xf numFmtId="172" fontId="2" fillId="22" borderId="5" xfId="0" applyNumberFormat="1" applyFont="1" applyFill="1" applyBorder="1" applyAlignment="1">
      <alignment vertical="center"/>
    </xf>
    <xf numFmtId="10" fontId="2" fillId="0" borderId="14" xfId="2" applyNumberFormat="1" applyFont="1" applyBorder="1" applyAlignment="1">
      <alignment vertical="center"/>
    </xf>
    <xf numFmtId="176" fontId="2" fillId="0" borderId="116" xfId="0" applyNumberFormat="1" applyFont="1" applyBorder="1" applyAlignment="1">
      <alignment horizontal="center" vertical="center" wrapText="1"/>
    </xf>
    <xf numFmtId="176" fontId="2" fillId="0" borderId="137" xfId="0" applyNumberFormat="1" applyFont="1" applyBorder="1" applyAlignment="1">
      <alignment horizontal="center" vertical="center" wrapText="1"/>
    </xf>
    <xf numFmtId="172" fontId="2" fillId="21" borderId="137" xfId="0" applyNumberFormat="1" applyFont="1" applyFill="1" applyBorder="1" applyAlignment="1">
      <alignment vertical="center"/>
    </xf>
    <xf numFmtId="172" fontId="2" fillId="23" borderId="137" xfId="0" applyNumberFormat="1" applyFont="1" applyFill="1" applyBorder="1" applyAlignment="1">
      <alignment vertical="center"/>
    </xf>
    <xf numFmtId="172" fontId="2" fillId="22" borderId="137" xfId="0" applyNumberFormat="1" applyFont="1" applyFill="1" applyBorder="1" applyAlignment="1">
      <alignment vertical="center"/>
    </xf>
    <xf numFmtId="10" fontId="2" fillId="0" borderId="135" xfId="2" applyNumberFormat="1" applyFont="1" applyBorder="1" applyAlignment="1">
      <alignment vertical="center"/>
    </xf>
    <xf numFmtId="176" fontId="2" fillId="0" borderId="13" xfId="0" applyNumberFormat="1" applyFont="1" applyBorder="1" applyAlignment="1">
      <alignment horizontal="center" vertical="center" wrapText="1"/>
    </xf>
    <xf numFmtId="10" fontId="2" fillId="0" borderId="86" xfId="2" applyNumberFormat="1" applyFont="1" applyBorder="1" applyAlignment="1">
      <alignment vertical="center"/>
    </xf>
    <xf numFmtId="176" fontId="2" fillId="0" borderId="6" xfId="0" applyNumberFormat="1" applyFont="1" applyBorder="1" applyAlignment="1">
      <alignment horizontal="center" vertical="center" wrapText="1"/>
    </xf>
    <xf numFmtId="10" fontId="2" fillId="0" borderId="18" xfId="2" applyNumberFormat="1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98" fillId="0" borderId="0" xfId="0" applyFont="1"/>
    <xf numFmtId="172" fontId="5" fillId="21" borderId="8" xfId="0" applyNumberFormat="1" applyFont="1" applyFill="1" applyBorder="1" applyAlignment="1">
      <alignment vertical="center"/>
    </xf>
    <xf numFmtId="172" fontId="5" fillId="23" borderId="8" xfId="0" applyNumberFormat="1" applyFont="1" applyFill="1" applyBorder="1" applyAlignment="1">
      <alignment vertical="center"/>
    </xf>
    <xf numFmtId="172" fontId="5" fillId="22" borderId="8" xfId="0" applyNumberFormat="1" applyFont="1" applyFill="1" applyBorder="1" applyAlignment="1">
      <alignment vertical="center"/>
    </xf>
    <xf numFmtId="10" fontId="5" fillId="0" borderId="8" xfId="2" applyNumberFormat="1" applyFont="1" applyBorder="1" applyAlignment="1">
      <alignment vertical="center"/>
    </xf>
    <xf numFmtId="172" fontId="72" fillId="21" borderId="0" xfId="0" applyNumberFormat="1" applyFont="1" applyFill="1" applyBorder="1" applyAlignment="1">
      <alignment vertical="center"/>
    </xf>
    <xf numFmtId="172" fontId="72" fillId="23" borderId="0" xfId="0" applyNumberFormat="1" applyFont="1" applyFill="1" applyBorder="1" applyAlignment="1">
      <alignment vertical="center"/>
    </xf>
    <xf numFmtId="10" fontId="99" fillId="0" borderId="0" xfId="2" applyNumberFormat="1" applyFont="1" applyBorder="1" applyAlignment="1">
      <alignment horizontal="right" vertical="center"/>
    </xf>
    <xf numFmtId="166" fontId="2" fillId="0" borderId="0" xfId="0" applyNumberFormat="1" applyFont="1" applyBorder="1" applyAlignment="1">
      <alignment vertical="center" wrapText="1"/>
    </xf>
    <xf numFmtId="166" fontId="48" fillId="0" borderId="0" xfId="0" applyNumberFormat="1" applyFont="1" applyBorder="1" applyAlignment="1">
      <alignment vertical="center" wrapText="1"/>
    </xf>
    <xf numFmtId="166" fontId="95" fillId="0" borderId="0" xfId="0" applyNumberFormat="1" applyFont="1" applyBorder="1" applyAlignment="1">
      <alignment horizontal="right" vertical="center" wrapText="1"/>
    </xf>
    <xf numFmtId="10" fontId="72" fillId="0" borderId="0" xfId="2" applyNumberFormat="1" applyFont="1" applyBorder="1" applyAlignment="1">
      <alignment vertical="center"/>
    </xf>
    <xf numFmtId="10" fontId="2" fillId="0" borderId="0" xfId="2" applyNumberFormat="1" applyFont="1" applyBorder="1" applyAlignment="1">
      <alignment vertical="center"/>
    </xf>
    <xf numFmtId="172" fontId="99" fillId="22" borderId="0" xfId="0" applyNumberFormat="1" applyFont="1" applyFill="1" applyBorder="1" applyAlignment="1">
      <alignment vertical="center"/>
    </xf>
    <xf numFmtId="3" fontId="100" fillId="0" borderId="0" xfId="0" applyNumberFormat="1" applyFont="1" applyAlignment="1">
      <alignment horizontal="center" vertical="center"/>
    </xf>
    <xf numFmtId="166" fontId="48" fillId="0" borderId="0" xfId="0" applyNumberFormat="1" applyFont="1" applyBorder="1" applyAlignment="1">
      <alignment horizontal="right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172" fontId="5" fillId="21" borderId="4" xfId="0" applyNumberFormat="1" applyFont="1" applyFill="1" applyBorder="1" applyAlignment="1">
      <alignment vertical="center"/>
    </xf>
    <xf numFmtId="172" fontId="5" fillId="23" borderId="4" xfId="0" applyNumberFormat="1" applyFont="1" applyFill="1" applyBorder="1" applyAlignment="1">
      <alignment vertical="center"/>
    </xf>
    <xf numFmtId="172" fontId="5" fillId="22" borderId="4" xfId="0" applyNumberFormat="1" applyFont="1" applyFill="1" applyBorder="1" applyAlignment="1">
      <alignment vertical="center"/>
    </xf>
    <xf numFmtId="10" fontId="5" fillId="0" borderId="4" xfId="2" applyNumberFormat="1" applyFont="1" applyBorder="1" applyAlignment="1">
      <alignment vertical="center"/>
    </xf>
    <xf numFmtId="172" fontId="2" fillId="21" borderId="0" xfId="0" applyNumberFormat="1" applyFont="1" applyFill="1" applyAlignment="1">
      <alignment vertical="center"/>
    </xf>
    <xf numFmtId="172" fontId="2" fillId="23" borderId="0" xfId="0" applyNumberFormat="1" applyFont="1" applyFill="1" applyAlignment="1">
      <alignment vertical="center"/>
    </xf>
    <xf numFmtId="172" fontId="2" fillId="22" borderId="0" xfId="0" applyNumberFormat="1" applyFont="1" applyFill="1" applyAlignment="1">
      <alignment vertical="center"/>
    </xf>
    <xf numFmtId="0" fontId="2" fillId="0" borderId="12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Fill="1" applyBorder="1" applyAlignment="1">
      <alignment vertical="center" wrapText="1"/>
    </xf>
    <xf numFmtId="176" fontId="2" fillId="0" borderId="11" xfId="0" applyNumberFormat="1" applyFont="1" applyFill="1" applyBorder="1" applyAlignment="1">
      <alignment horizontal="center" vertical="center"/>
    </xf>
    <xf numFmtId="176" fontId="2" fillId="0" borderId="11" xfId="0" applyNumberFormat="1" applyFont="1" applyFill="1" applyBorder="1" applyAlignment="1">
      <alignment vertical="center" wrapText="1"/>
    </xf>
    <xf numFmtId="176" fontId="2" fillId="0" borderId="18" xfId="0" applyNumberFormat="1" applyFont="1" applyFill="1" applyBorder="1" applyAlignment="1">
      <alignment horizontal="center" vertical="center" wrapText="1"/>
    </xf>
    <xf numFmtId="49" fontId="2" fillId="0" borderId="132" xfId="0" applyNumberFormat="1" applyFont="1" applyFill="1" applyBorder="1" applyAlignment="1">
      <alignment horizontal="left" vertical="center" wrapText="1"/>
    </xf>
    <xf numFmtId="176" fontId="2" fillId="0" borderId="10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/>
    <xf numFmtId="176" fontId="2" fillId="0" borderId="6" xfId="0" applyNumberFormat="1" applyFont="1" applyFill="1" applyBorder="1" applyAlignment="1">
      <alignment horizontal="center" vertical="center" wrapText="1"/>
    </xf>
    <xf numFmtId="177" fontId="2" fillId="0" borderId="134" xfId="0" applyNumberFormat="1" applyFont="1" applyFill="1" applyBorder="1" applyAlignment="1">
      <alignment horizontal="left" vertical="center" wrapText="1"/>
    </xf>
    <xf numFmtId="177" fontId="2" fillId="0" borderId="131" xfId="0" applyNumberFormat="1" applyFont="1" applyFill="1" applyBorder="1" applyAlignment="1">
      <alignment horizontal="left" vertical="center" wrapText="1"/>
    </xf>
    <xf numFmtId="3" fontId="97" fillId="0" borderId="0" xfId="0" applyNumberFormat="1" applyFont="1" applyFill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/>
    </xf>
    <xf numFmtId="176" fontId="2" fillId="0" borderId="137" xfId="0" applyNumberFormat="1" applyFont="1" applyFill="1" applyBorder="1" applyAlignment="1">
      <alignment horizontal="center" vertical="center" wrapText="1"/>
    </xf>
    <xf numFmtId="0" fontId="2" fillId="0" borderId="137" xfId="0" applyFont="1" applyFill="1" applyBorder="1" applyAlignment="1">
      <alignment horizontal="left" wrapText="1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11" xfId="0" applyNumberFormat="1" applyFont="1" applyFill="1" applyBorder="1" applyAlignment="1">
      <alignment horizontal="center" vertical="center" wrapText="1"/>
    </xf>
    <xf numFmtId="49" fontId="2" fillId="0" borderId="133" xfId="0" applyNumberFormat="1" applyFont="1" applyFill="1" applyBorder="1" applyAlignment="1">
      <alignment horizontal="left" vertical="center" wrapText="1"/>
    </xf>
    <xf numFmtId="165" fontId="6" fillId="22" borderId="0" xfId="0" applyNumberFormat="1" applyFont="1" applyFill="1" applyBorder="1"/>
    <xf numFmtId="0" fontId="2" fillId="21" borderId="3" xfId="0" applyFont="1" applyFill="1" applyBorder="1" applyAlignment="1">
      <alignment horizontal="center" vertical="center" wrapText="1"/>
    </xf>
    <xf numFmtId="3" fontId="2" fillId="21" borderId="0" xfId="0" applyNumberFormat="1" applyFont="1" applyFill="1"/>
    <xf numFmtId="165" fontId="2" fillId="21" borderId="0" xfId="0" applyNumberFormat="1" applyFont="1" applyFill="1" applyBorder="1"/>
    <xf numFmtId="1" fontId="2" fillId="21" borderId="0" xfId="0" applyNumberFormat="1" applyFont="1" applyFill="1" applyBorder="1"/>
    <xf numFmtId="173" fontId="2" fillId="21" borderId="0" xfId="0" applyNumberFormat="1" applyFont="1" applyFill="1" applyBorder="1" applyAlignment="1"/>
    <xf numFmtId="0" fontId="2" fillId="21" borderId="0" xfId="0" applyNumberFormat="1" applyFont="1" applyFill="1" applyBorder="1"/>
    <xf numFmtId="165" fontId="2" fillId="21" borderId="1" xfId="0" applyNumberFormat="1" applyFont="1" applyFill="1" applyBorder="1"/>
    <xf numFmtId="165" fontId="5" fillId="21" borderId="0" xfId="0" applyNumberFormat="1" applyFont="1" applyFill="1" applyBorder="1"/>
    <xf numFmtId="165" fontId="2" fillId="21" borderId="0" xfId="0" applyNumberFormat="1" applyFont="1" applyFill="1"/>
    <xf numFmtId="165" fontId="6" fillId="21" borderId="0" xfId="0" applyNumberFormat="1" applyFont="1" applyFill="1" applyBorder="1"/>
    <xf numFmtId="165" fontId="5" fillId="21" borderId="1" xfId="0" applyNumberFormat="1" applyFont="1" applyFill="1" applyBorder="1" applyAlignment="1"/>
    <xf numFmtId="165" fontId="6" fillId="21" borderId="0" xfId="0" applyNumberFormat="1" applyFont="1" applyFill="1" applyAlignment="1"/>
    <xf numFmtId="165" fontId="6" fillId="21" borderId="2" xfId="0" applyNumberFormat="1" applyFont="1" applyFill="1" applyBorder="1" applyAlignment="1"/>
    <xf numFmtId="165" fontId="6" fillId="21" borderId="0" xfId="0" applyNumberFormat="1" applyFont="1" applyFill="1" applyBorder="1" applyAlignment="1"/>
    <xf numFmtId="165" fontId="5" fillId="21" borderId="0" xfId="0" applyNumberFormat="1" applyFont="1" applyFill="1" applyAlignment="1">
      <alignment horizontal="left" indent="1"/>
    </xf>
    <xf numFmtId="0" fontId="2" fillId="21" borderId="0" xfId="0" applyFont="1" applyFill="1" applyAlignment="1">
      <alignment horizontal="left" indent="1"/>
    </xf>
    <xf numFmtId="172" fontId="2" fillId="21" borderId="1" xfId="0" applyNumberFormat="1" applyFont="1" applyFill="1" applyBorder="1"/>
    <xf numFmtId="165" fontId="5" fillId="21" borderId="19" xfId="0" applyNumberFormat="1" applyFont="1" applyFill="1" applyBorder="1"/>
    <xf numFmtId="165" fontId="5" fillId="21" borderId="1" xfId="0" applyNumberFormat="1" applyFont="1" applyFill="1" applyBorder="1"/>
    <xf numFmtId="165" fontId="6" fillId="21" borderId="19" xfId="0" applyNumberFormat="1" applyFont="1" applyFill="1" applyBorder="1"/>
    <xf numFmtId="165" fontId="6" fillId="21" borderId="0" xfId="0" applyNumberFormat="1" applyFont="1" applyFill="1"/>
    <xf numFmtId="0" fontId="2" fillId="21" borderId="0" xfId="0" applyFont="1" applyFill="1"/>
    <xf numFmtId="0" fontId="2" fillId="23" borderId="3" xfId="0" applyFont="1" applyFill="1" applyBorder="1" applyAlignment="1">
      <alignment horizontal="center" vertical="center" wrapText="1"/>
    </xf>
    <xf numFmtId="3" fontId="2" fillId="23" borderId="0" xfId="0" applyNumberFormat="1" applyFont="1" applyFill="1"/>
    <xf numFmtId="165" fontId="2" fillId="23" borderId="0" xfId="0" applyNumberFormat="1" applyFont="1" applyFill="1" applyBorder="1"/>
    <xf numFmtId="1" fontId="2" fillId="23" borderId="0" xfId="0" applyNumberFormat="1" applyFont="1" applyFill="1" applyBorder="1"/>
    <xf numFmtId="173" fontId="2" fillId="23" borderId="0" xfId="0" applyNumberFormat="1" applyFont="1" applyFill="1" applyBorder="1"/>
    <xf numFmtId="0" fontId="2" fillId="23" borderId="0" xfId="0" applyNumberFormat="1" applyFont="1" applyFill="1" applyBorder="1"/>
    <xf numFmtId="165" fontId="2" fillId="23" borderId="1" xfId="0" applyNumberFormat="1" applyFont="1" applyFill="1" applyBorder="1"/>
    <xf numFmtId="165" fontId="5" fillId="23" borderId="0" xfId="0" applyNumberFormat="1" applyFont="1" applyFill="1" applyBorder="1"/>
    <xf numFmtId="165" fontId="2" fillId="23" borderId="0" xfId="0" applyNumberFormat="1" applyFont="1" applyFill="1"/>
    <xf numFmtId="165" fontId="6" fillId="23" borderId="0" xfId="0" applyNumberFormat="1" applyFont="1" applyFill="1" applyBorder="1"/>
    <xf numFmtId="165" fontId="5" fillId="23" borderId="1" xfId="0" applyNumberFormat="1" applyFont="1" applyFill="1" applyBorder="1" applyAlignment="1"/>
    <xf numFmtId="165" fontId="6" fillId="23" borderId="0" xfId="0" applyNumberFormat="1" applyFont="1" applyFill="1" applyAlignment="1"/>
    <xf numFmtId="165" fontId="6" fillId="23" borderId="2" xfId="0" applyNumberFormat="1" applyFont="1" applyFill="1" applyBorder="1" applyAlignment="1"/>
    <xf numFmtId="165" fontId="6" fillId="23" borderId="0" xfId="0" applyNumberFormat="1" applyFont="1" applyFill="1" applyBorder="1" applyAlignment="1"/>
    <xf numFmtId="165" fontId="5" fillId="23" borderId="0" xfId="0" applyNumberFormat="1" applyFont="1" applyFill="1" applyAlignment="1">
      <alignment horizontal="right"/>
    </xf>
    <xf numFmtId="165" fontId="5" fillId="23" borderId="19" xfId="0" applyNumberFormat="1" applyFont="1" applyFill="1" applyBorder="1"/>
    <xf numFmtId="165" fontId="5" fillId="23" borderId="1" xfId="0" applyNumberFormat="1" applyFont="1" applyFill="1" applyBorder="1"/>
    <xf numFmtId="165" fontId="6" fillId="23" borderId="19" xfId="0" applyNumberFormat="1" applyFont="1" applyFill="1" applyBorder="1"/>
    <xf numFmtId="165" fontId="6" fillId="23" borderId="0" xfId="0" applyNumberFormat="1" applyFont="1" applyFill="1"/>
    <xf numFmtId="0" fontId="2" fillId="23" borderId="0" xfId="0" applyFont="1" applyFill="1"/>
    <xf numFmtId="165" fontId="2" fillId="22" borderId="3" xfId="0" applyNumberFormat="1" applyFont="1" applyFill="1" applyBorder="1" applyAlignment="1">
      <alignment horizontal="center" vertical="center"/>
    </xf>
    <xf numFmtId="165" fontId="2" fillId="22" borderId="0" xfId="0" applyNumberFormat="1" applyFont="1" applyFill="1" applyBorder="1"/>
    <xf numFmtId="1" fontId="2" fillId="22" borderId="0" xfId="0" applyNumberFormat="1" applyFont="1" applyFill="1" applyBorder="1"/>
    <xf numFmtId="165" fontId="2" fillId="22" borderId="1" xfId="0" applyNumberFormat="1" applyFont="1" applyFill="1" applyBorder="1"/>
    <xf numFmtId="165" fontId="5" fillId="22" borderId="0" xfId="0" applyNumberFormat="1" applyFont="1" applyFill="1" applyBorder="1"/>
    <xf numFmtId="165" fontId="6" fillId="22" borderId="0" xfId="0" applyNumberFormat="1" applyFont="1" applyFill="1" applyAlignment="1"/>
    <xf numFmtId="165" fontId="6" fillId="22" borderId="2" xfId="0" applyNumberFormat="1" applyFont="1" applyFill="1" applyBorder="1" applyAlignment="1"/>
    <xf numFmtId="165" fontId="6" fillId="22" borderId="0" xfId="0" applyNumberFormat="1" applyFont="1" applyFill="1" applyBorder="1" applyAlignment="1"/>
    <xf numFmtId="165" fontId="5" fillId="22" borderId="0" xfId="0" applyNumberFormat="1" applyFont="1" applyFill="1" applyAlignment="1">
      <alignment horizontal="left" indent="1"/>
    </xf>
    <xf numFmtId="1" fontId="5" fillId="22" borderId="0" xfId="0" applyNumberFormat="1" applyFont="1" applyFill="1" applyBorder="1"/>
    <xf numFmtId="1" fontId="2" fillId="22" borderId="1" xfId="0" applyNumberFormat="1" applyFont="1" applyFill="1" applyBorder="1"/>
    <xf numFmtId="1" fontId="5" fillId="22" borderId="19" xfId="0" applyNumberFormat="1" applyFont="1" applyFill="1" applyBorder="1"/>
    <xf numFmtId="1" fontId="5" fillId="22" borderId="1" xfId="0" applyNumberFormat="1" applyFont="1" applyFill="1" applyBorder="1"/>
    <xf numFmtId="165" fontId="6" fillId="22" borderId="19" xfId="0" applyNumberFormat="1" applyFont="1" applyFill="1" applyBorder="1"/>
    <xf numFmtId="165" fontId="5" fillId="22" borderId="1" xfId="0" applyNumberFormat="1" applyFont="1" applyFill="1" applyBorder="1"/>
    <xf numFmtId="165" fontId="6" fillId="22" borderId="0" xfId="0" applyNumberFormat="1" applyFont="1" applyFill="1"/>
    <xf numFmtId="10" fontId="2" fillId="27" borderId="3" xfId="0" applyNumberFormat="1" applyFont="1" applyFill="1" applyBorder="1" applyAlignment="1">
      <alignment horizontal="center" vertical="center" wrapText="1"/>
    </xf>
    <xf numFmtId="10" fontId="2" fillId="27" borderId="0" xfId="0" applyNumberFormat="1" applyFont="1" applyFill="1"/>
    <xf numFmtId="10" fontId="2" fillId="27" borderId="1" xfId="0" applyNumberFormat="1" applyFont="1" applyFill="1" applyBorder="1"/>
    <xf numFmtId="10" fontId="5" fillId="27" borderId="0" xfId="0" applyNumberFormat="1" applyFont="1" applyFill="1"/>
    <xf numFmtId="10" fontId="6" fillId="27" borderId="0" xfId="0" applyNumberFormat="1" applyFont="1" applyFill="1"/>
    <xf numFmtId="10" fontId="5" fillId="27" borderId="19" xfId="0" applyNumberFormat="1" applyFont="1" applyFill="1" applyBorder="1"/>
    <xf numFmtId="10" fontId="2" fillId="27" borderId="0" xfId="0" applyNumberFormat="1" applyFont="1" applyFill="1" applyBorder="1"/>
    <xf numFmtId="10" fontId="6" fillId="27" borderId="2" xfId="0" applyNumberFormat="1" applyFont="1" applyFill="1" applyBorder="1" applyAlignment="1"/>
    <xf numFmtId="10" fontId="6" fillId="27" borderId="0" xfId="0" applyNumberFormat="1" applyFont="1" applyFill="1" applyAlignment="1"/>
    <xf numFmtId="10" fontId="5" fillId="27" borderId="1" xfId="0" applyNumberFormat="1" applyFont="1" applyFill="1" applyBorder="1"/>
    <xf numFmtId="10" fontId="5" fillId="27" borderId="0" xfId="0" applyNumberFormat="1" applyFont="1" applyFill="1" applyBorder="1"/>
    <xf numFmtId="10" fontId="6" fillId="27" borderId="19" xfId="0" applyNumberFormat="1" applyFont="1" applyFill="1" applyBorder="1"/>
    <xf numFmtId="0" fontId="2" fillId="27" borderId="0" xfId="0" applyFont="1" applyFill="1"/>
    <xf numFmtId="0" fontId="101" fillId="0" borderId="0" xfId="0" applyFont="1"/>
    <xf numFmtId="0" fontId="102" fillId="0" borderId="0" xfId="0" applyFont="1"/>
    <xf numFmtId="0" fontId="29" fillId="22" borderId="0" xfId="0" applyFont="1" applyFill="1" applyBorder="1"/>
    <xf numFmtId="0" fontId="5" fillId="22" borderId="0" xfId="0" applyFont="1" applyFill="1" applyBorder="1"/>
    <xf numFmtId="172" fontId="2" fillId="21" borderId="3" xfId="0" applyNumberFormat="1" applyFont="1" applyFill="1" applyBorder="1" applyAlignment="1">
      <alignment horizontal="center" wrapText="1"/>
    </xf>
    <xf numFmtId="172" fontId="2" fillId="21" borderId="0" xfId="0" applyNumberFormat="1" applyFont="1" applyFill="1"/>
    <xf numFmtId="172" fontId="2" fillId="21" borderId="0" xfId="0" applyNumberFormat="1" applyFont="1" applyFill="1" applyBorder="1"/>
    <xf numFmtId="172" fontId="5" fillId="21" borderId="3" xfId="0" applyNumberFormat="1" applyFont="1" applyFill="1" applyBorder="1"/>
    <xf numFmtId="172" fontId="5" fillId="21" borderId="0" xfId="0" applyNumberFormat="1" applyFont="1" applyFill="1" applyBorder="1"/>
    <xf numFmtId="172" fontId="5" fillId="21" borderId="3" xfId="0" applyNumberFormat="1" applyFont="1" applyFill="1" applyBorder="1" applyAlignment="1"/>
    <xf numFmtId="172" fontId="6" fillId="21" borderId="0" xfId="0" applyNumberFormat="1" applyFont="1" applyFill="1" applyAlignment="1"/>
    <xf numFmtId="172" fontId="6" fillId="21" borderId="0" xfId="0" applyNumberFormat="1" applyFont="1" applyFill="1" applyAlignment="1">
      <alignment horizontal="left"/>
    </xf>
    <xf numFmtId="172" fontId="30" fillId="21" borderId="0" xfId="0" applyNumberFormat="1" applyFont="1" applyFill="1"/>
    <xf numFmtId="172" fontId="2" fillId="23" borderId="3" xfId="0" applyNumberFormat="1" applyFont="1" applyFill="1" applyBorder="1" applyAlignment="1">
      <alignment horizontal="center" wrapText="1"/>
    </xf>
    <xf numFmtId="172" fontId="2" fillId="23" borderId="0" xfId="0" applyNumberFormat="1" applyFont="1" applyFill="1" applyBorder="1"/>
    <xf numFmtId="172" fontId="5" fillId="23" borderId="3" xfId="0" applyNumberFormat="1" applyFont="1" applyFill="1" applyBorder="1"/>
    <xf numFmtId="172" fontId="5" fillId="23" borderId="0" xfId="0" applyNumberFormat="1" applyFont="1" applyFill="1" applyBorder="1"/>
    <xf numFmtId="172" fontId="2" fillId="23" borderId="1" xfId="0" applyNumberFormat="1" applyFont="1" applyFill="1" applyBorder="1"/>
    <xf numFmtId="172" fontId="5" fillId="23" borderId="3" xfId="0" applyNumberFormat="1" applyFont="1" applyFill="1" applyBorder="1" applyAlignment="1"/>
    <xf numFmtId="172" fontId="30" fillId="23" borderId="0" xfId="0" applyNumberFormat="1" applyFont="1" applyFill="1"/>
    <xf numFmtId="172" fontId="2" fillId="23" borderId="0" xfId="0" applyNumberFormat="1" applyFont="1" applyFill="1"/>
    <xf numFmtId="172" fontId="2" fillId="22" borderId="3" xfId="0" applyNumberFormat="1" applyFont="1" applyFill="1" applyBorder="1" applyAlignment="1">
      <alignment horizontal="center" vertical="center"/>
    </xf>
    <xf numFmtId="172" fontId="2" fillId="22" borderId="0" xfId="0" applyNumberFormat="1" applyFont="1" applyFill="1" applyBorder="1"/>
    <xf numFmtId="172" fontId="5" fillId="22" borderId="3" xfId="0" applyNumberFormat="1" applyFont="1" applyFill="1" applyBorder="1"/>
    <xf numFmtId="172" fontId="5" fillId="22" borderId="0" xfId="0" applyNumberFormat="1" applyFont="1" applyFill="1" applyBorder="1"/>
    <xf numFmtId="172" fontId="2" fillId="22" borderId="1" xfId="0" applyNumberFormat="1" applyFont="1" applyFill="1" applyBorder="1"/>
    <xf numFmtId="172" fontId="5" fillId="22" borderId="3" xfId="0" applyNumberFormat="1" applyFont="1" applyFill="1" applyBorder="1" applyAlignment="1"/>
    <xf numFmtId="172" fontId="30" fillId="22" borderId="0" xfId="0" applyNumberFormat="1" applyFont="1" applyFill="1"/>
    <xf numFmtId="172" fontId="9" fillId="22" borderId="0" xfId="0" applyNumberFormat="1" applyFont="1" applyFill="1"/>
    <xf numFmtId="0" fontId="2" fillId="28" borderId="3" xfId="0" applyFont="1" applyFill="1" applyBorder="1" applyAlignment="1">
      <alignment horizontal="center" wrapText="1"/>
    </xf>
    <xf numFmtId="10" fontId="2" fillId="28" borderId="0" xfId="0" applyNumberFormat="1" applyFont="1" applyFill="1"/>
    <xf numFmtId="10" fontId="5" fillId="28" borderId="2" xfId="0" applyNumberFormat="1" applyFont="1" applyFill="1" applyBorder="1"/>
    <xf numFmtId="10" fontId="5" fillId="28" borderId="0" xfId="0" applyNumberFormat="1" applyFont="1" applyFill="1" applyBorder="1"/>
    <xf numFmtId="10" fontId="2" fillId="28" borderId="0" xfId="0" applyNumberFormat="1" applyFont="1" applyFill="1" applyBorder="1"/>
    <xf numFmtId="10" fontId="5" fillId="28" borderId="3" xfId="0" applyNumberFormat="1" applyFont="1" applyFill="1" applyBorder="1"/>
    <xf numFmtId="10" fontId="5" fillId="28" borderId="0" xfId="0" applyNumberFormat="1" applyFont="1" applyFill="1"/>
    <xf numFmtId="10" fontId="5" fillId="28" borderId="1" xfId="0" applyNumberFormat="1" applyFont="1" applyFill="1" applyBorder="1"/>
    <xf numFmtId="10" fontId="2" fillId="28" borderId="1" xfId="0" applyNumberFormat="1" applyFont="1" applyFill="1" applyBorder="1"/>
    <xf numFmtId="10" fontId="5" fillId="28" borderId="0" xfId="1" applyNumberFormat="1" applyFont="1" applyFill="1" applyBorder="1" applyAlignment="1" applyProtection="1"/>
    <xf numFmtId="10" fontId="5" fillId="28" borderId="3" xfId="1" applyNumberFormat="1" applyFont="1" applyFill="1" applyBorder="1" applyAlignment="1" applyProtection="1"/>
    <xf numFmtId="10" fontId="30" fillId="28" borderId="0" xfId="0" applyNumberFormat="1" applyFont="1" applyFill="1" applyBorder="1"/>
    <xf numFmtId="0" fontId="2" fillId="28" borderId="0" xfId="0" applyFont="1" applyFill="1"/>
    <xf numFmtId="0" fontId="103" fillId="0" borderId="0" xfId="0" applyFont="1"/>
    <xf numFmtId="172" fontId="2" fillId="22" borderId="0" xfId="0" applyNumberFormat="1" applyFont="1" applyFill="1"/>
    <xf numFmtId="1" fontId="5" fillId="21" borderId="0" xfId="0" applyNumberFormat="1" applyFont="1" applyFill="1" applyBorder="1"/>
    <xf numFmtId="1" fontId="5" fillId="23" borderId="0" xfId="0" applyNumberFormat="1" applyFont="1" applyFill="1" applyBorder="1"/>
    <xf numFmtId="0" fontId="6" fillId="31" borderId="0" xfId="0" applyFont="1" applyFill="1" applyAlignment="1">
      <alignment horizontal="right"/>
    </xf>
    <xf numFmtId="0" fontId="6" fillId="25" borderId="0" xfId="0" applyFont="1" applyFill="1" applyAlignment="1">
      <alignment horizontal="left"/>
    </xf>
    <xf numFmtId="0" fontId="6" fillId="25" borderId="0" xfId="0" applyFont="1" applyFill="1" applyAlignment="1">
      <alignment horizontal="right"/>
    </xf>
    <xf numFmtId="10" fontId="68" fillId="27" borderId="118" xfId="0" applyNumberFormat="1" applyFont="1" applyFill="1" applyBorder="1"/>
    <xf numFmtId="10" fontId="95" fillId="27" borderId="118" xfId="0" applyNumberFormat="1" applyFont="1" applyFill="1" applyBorder="1"/>
    <xf numFmtId="0" fontId="48" fillId="0" borderId="118" xfId="0" applyFont="1" applyBorder="1" applyAlignment="1">
      <alignment horizontal="right"/>
    </xf>
    <xf numFmtId="0" fontId="68" fillId="0" borderId="118" xfId="0" applyFont="1" applyBorder="1" applyAlignment="1">
      <alignment horizontal="right"/>
    </xf>
    <xf numFmtId="0" fontId="2" fillId="0" borderId="125" xfId="0" applyFont="1" applyBorder="1" applyAlignment="1">
      <alignment horizontal="left"/>
    </xf>
    <xf numFmtId="0" fontId="6" fillId="30" borderId="125" xfId="0" applyFont="1" applyFill="1" applyBorder="1" applyAlignment="1">
      <alignment horizontal="right"/>
    </xf>
    <xf numFmtId="165" fontId="6" fillId="21" borderId="125" xfId="0" applyNumberFormat="1" applyFont="1" applyFill="1" applyBorder="1" applyAlignment="1"/>
    <xf numFmtId="165" fontId="6" fillId="23" borderId="125" xfId="0" applyNumberFormat="1" applyFont="1" applyFill="1" applyBorder="1" applyAlignment="1"/>
    <xf numFmtId="165" fontId="6" fillId="22" borderId="125" xfId="0" applyNumberFormat="1" applyFont="1" applyFill="1" applyBorder="1" applyAlignment="1"/>
    <xf numFmtId="10" fontId="6" fillId="27" borderId="125" xfId="0" applyNumberFormat="1" applyFont="1" applyFill="1" applyBorder="1"/>
    <xf numFmtId="0" fontId="2" fillId="29" borderId="125" xfId="0" applyFont="1" applyFill="1" applyBorder="1" applyAlignment="1">
      <alignment horizontal="right"/>
    </xf>
    <xf numFmtId="0" fontId="6" fillId="29" borderId="125" xfId="0" applyFont="1" applyFill="1" applyBorder="1" applyAlignment="1">
      <alignment horizontal="right"/>
    </xf>
    <xf numFmtId="10" fontId="68" fillId="27" borderId="125" xfId="0" applyNumberFormat="1" applyFont="1" applyFill="1" applyBorder="1"/>
    <xf numFmtId="0" fontId="2" fillId="22" borderId="125" xfId="0" applyFont="1" applyFill="1" applyBorder="1"/>
    <xf numFmtId="0" fontId="29" fillId="22" borderId="125" xfId="0" applyFont="1" applyFill="1" applyBorder="1" applyAlignment="1">
      <alignment horizontal="right"/>
    </xf>
    <xf numFmtId="165" fontId="6" fillId="22" borderId="125" xfId="0" applyNumberFormat="1" applyFont="1" applyFill="1" applyBorder="1"/>
    <xf numFmtId="10" fontId="6" fillId="22" borderId="125" xfId="0" applyNumberFormat="1" applyFont="1" applyFill="1" applyBorder="1"/>
    <xf numFmtId="10" fontId="5" fillId="27" borderId="2" xfId="0" applyNumberFormat="1" applyFont="1" applyFill="1" applyBorder="1"/>
    <xf numFmtId="176" fontId="2" fillId="0" borderId="0" xfId="0" applyNumberFormat="1" applyFont="1" applyAlignment="1">
      <alignment horizontal="left" vertical="center" wrapText="1" indent="1"/>
    </xf>
    <xf numFmtId="165" fontId="2" fillId="23" borderId="138" xfId="0" applyNumberFormat="1" applyFont="1" applyFill="1" applyBorder="1"/>
    <xf numFmtId="173" fontId="2" fillId="22" borderId="0" xfId="0" applyNumberFormat="1" applyFont="1" applyFill="1"/>
    <xf numFmtId="165" fontId="2" fillId="22" borderId="138" xfId="0" applyNumberFormat="1" applyFont="1" applyFill="1" applyBorder="1"/>
    <xf numFmtId="10" fontId="2" fillId="27" borderId="138" xfId="0" applyNumberFormat="1" applyFont="1" applyFill="1" applyBorder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3" fontId="0" fillId="0" borderId="0" xfId="0" applyNumberFormat="1"/>
    <xf numFmtId="0" fontId="57" fillId="0" borderId="0" xfId="0" applyFont="1" applyAlignment="1">
      <alignment horizontal="center" vertical="center" wrapText="1"/>
    </xf>
    <xf numFmtId="0" fontId="21" fillId="0" borderId="141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3" fontId="25" fillId="0" borderId="16" xfId="0" applyNumberFormat="1" applyFont="1" applyBorder="1" applyAlignment="1">
      <alignment horizontal="center" vertical="center" wrapText="1"/>
    </xf>
    <xf numFmtId="10" fontId="21" fillId="0" borderId="142" xfId="0" applyNumberFormat="1" applyFont="1" applyBorder="1" applyAlignment="1">
      <alignment horizontal="center" vertical="center" wrapText="1"/>
    </xf>
    <xf numFmtId="10" fontId="21" fillId="0" borderId="17" xfId="0" applyNumberFormat="1" applyFont="1" applyBorder="1" applyAlignment="1">
      <alignment horizontal="center" vertical="center" wrapText="1"/>
    </xf>
    <xf numFmtId="3" fontId="2" fillId="0" borderId="143" xfId="0" applyNumberFormat="1" applyFont="1" applyBorder="1" applyAlignment="1">
      <alignment horizontal="right" vertical="center"/>
    </xf>
    <xf numFmtId="0" fontId="49" fillId="0" borderId="0" xfId="0" applyFont="1"/>
    <xf numFmtId="0" fontId="21" fillId="0" borderId="8" xfId="0" applyFont="1" applyBorder="1" applyAlignment="1">
      <alignment horizontal="center" vertical="center" wrapText="1"/>
    </xf>
    <xf numFmtId="3" fontId="25" fillId="0" borderId="6" xfId="0" applyNumberFormat="1" applyFont="1" applyBorder="1" applyAlignment="1">
      <alignment horizontal="center" vertical="center" wrapText="1"/>
    </xf>
    <xf numFmtId="167" fontId="21" fillId="0" borderId="1" xfId="0" applyNumberFormat="1" applyFont="1" applyBorder="1" applyAlignment="1">
      <alignment horizontal="center" vertical="center" wrapText="1"/>
    </xf>
    <xf numFmtId="10" fontId="21" fillId="0" borderId="18" xfId="0" applyNumberFormat="1" applyFont="1" applyBorder="1" applyAlignment="1">
      <alignment horizontal="center" vertical="center" wrapText="1"/>
    </xf>
    <xf numFmtId="3" fontId="2" fillId="0" borderId="33" xfId="0" applyNumberFormat="1" applyFont="1" applyBorder="1" applyAlignment="1">
      <alignment horizontal="right" vertical="center"/>
    </xf>
    <xf numFmtId="3" fontId="25" fillId="0" borderId="8" xfId="0" applyNumberFormat="1" applyFont="1" applyBorder="1" applyAlignment="1">
      <alignment horizontal="center" vertical="center" wrapText="1"/>
    </xf>
    <xf numFmtId="3" fontId="2" fillId="0" borderId="35" xfId="0" applyNumberFormat="1" applyFont="1" applyBorder="1" applyAlignment="1">
      <alignment horizontal="right" vertical="center"/>
    </xf>
    <xf numFmtId="10" fontId="21" fillId="0" borderId="10" xfId="0" applyNumberFormat="1" applyFont="1" applyBorder="1" applyAlignment="1">
      <alignment horizontal="center" vertical="center" wrapText="1"/>
    </xf>
    <xf numFmtId="0" fontId="21" fillId="0" borderId="32" xfId="0" applyFont="1" applyBorder="1" applyAlignment="1">
      <alignment horizontal="left" vertical="center" wrapText="1"/>
    </xf>
    <xf numFmtId="10" fontId="21" fillId="0" borderId="8" xfId="0" applyNumberFormat="1" applyFont="1" applyBorder="1" applyAlignment="1">
      <alignment horizontal="center" vertical="center" wrapText="1"/>
    </xf>
    <xf numFmtId="3" fontId="2" fillId="0" borderId="89" xfId="0" applyNumberFormat="1" applyFont="1" applyBorder="1" applyAlignment="1">
      <alignment horizontal="right" vertical="center"/>
    </xf>
    <xf numFmtId="0" fontId="21" fillId="0" borderId="144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3" fontId="25" fillId="0" borderId="20" xfId="0" applyNumberFormat="1" applyFont="1" applyBorder="1" applyAlignment="1">
      <alignment horizontal="center" vertical="center" wrapText="1"/>
    </xf>
    <xf numFmtId="3" fontId="25" fillId="0" borderId="43" xfId="0" applyNumberFormat="1" applyFont="1" applyBorder="1" applyAlignment="1">
      <alignment horizontal="center" vertical="center" wrapText="1"/>
    </xf>
    <xf numFmtId="10" fontId="21" fillId="0" borderId="38" xfId="0" applyNumberFormat="1" applyFont="1" applyBorder="1" applyAlignment="1">
      <alignment horizontal="center" vertical="center" wrapText="1"/>
    </xf>
    <xf numFmtId="3" fontId="2" fillId="0" borderId="92" xfId="0" applyNumberFormat="1" applyFont="1" applyBorder="1" applyAlignment="1">
      <alignment horizontal="right" vertical="center"/>
    </xf>
    <xf numFmtId="0" fontId="40" fillId="0" borderId="0" xfId="0" applyFont="1"/>
    <xf numFmtId="0" fontId="5" fillId="0" borderId="0" xfId="0" applyFont="1" applyAlignment="1">
      <alignment horizontal="right" vertical="center"/>
    </xf>
    <xf numFmtId="0" fontId="105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5" fontId="5" fillId="0" borderId="0" xfId="0" applyNumberFormat="1" applyFont="1" applyAlignment="1">
      <alignment horizontal="center" vertical="center"/>
    </xf>
    <xf numFmtId="3" fontId="21" fillId="0" borderId="0" xfId="0" applyNumberFormat="1" applyFont="1" applyAlignment="1">
      <alignment horizontal="center" vertical="center" wrapText="1"/>
    </xf>
    <xf numFmtId="0" fontId="69" fillId="0" borderId="0" xfId="0" applyFont="1"/>
    <xf numFmtId="0" fontId="2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4" fillId="0" borderId="145" xfId="0" applyFont="1" applyBorder="1" applyAlignment="1">
      <alignment vertical="center"/>
    </xf>
    <xf numFmtId="0" fontId="4" fillId="0" borderId="146" xfId="0" applyFont="1" applyBorder="1" applyAlignment="1">
      <alignment vertical="center"/>
    </xf>
    <xf numFmtId="0" fontId="4" fillId="0" borderId="147" xfId="0" applyFont="1" applyBorder="1" applyAlignment="1">
      <alignment horizontal="center" vertical="center"/>
    </xf>
    <xf numFmtId="0" fontId="4" fillId="0" borderId="141" xfId="0" applyFont="1" applyBorder="1" applyAlignment="1">
      <alignment vertical="center"/>
    </xf>
    <xf numFmtId="174" fontId="5" fillId="0" borderId="16" xfId="0" applyNumberFormat="1" applyFont="1" applyBorder="1" applyAlignment="1">
      <alignment horizontal="center" vertical="center"/>
    </xf>
    <xf numFmtId="10" fontId="5" fillId="0" borderId="143" xfId="0" applyNumberFormat="1" applyFont="1" applyBorder="1" applyAlignment="1">
      <alignment vertical="center"/>
    </xf>
    <xf numFmtId="178" fontId="45" fillId="19" borderId="33" xfId="0" applyNumberFormat="1" applyFont="1" applyFill="1" applyBorder="1" applyAlignment="1">
      <alignment horizontal="center" vertical="center"/>
    </xf>
    <xf numFmtId="5" fontId="5" fillId="19" borderId="111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left"/>
    </xf>
    <xf numFmtId="174" fontId="0" fillId="0" borderId="0" xfId="0" applyNumberFormat="1"/>
    <xf numFmtId="5" fontId="5" fillId="19" borderId="148" xfId="0" applyNumberFormat="1" applyFont="1" applyFill="1" applyBorder="1" applyAlignment="1">
      <alignment horizontal="center" vertical="center"/>
    </xf>
    <xf numFmtId="5" fontId="0" fillId="0" borderId="0" xfId="0" applyNumberFormat="1"/>
    <xf numFmtId="5" fontId="5" fillId="19" borderId="106" xfId="0" applyNumberFormat="1" applyFont="1" applyFill="1" applyBorder="1" applyAlignment="1">
      <alignment horizontal="center" vertical="center"/>
    </xf>
    <xf numFmtId="0" fontId="2" fillId="18" borderId="0" xfId="0" applyFont="1" applyFill="1" applyAlignment="1">
      <alignment vertical="center"/>
    </xf>
    <xf numFmtId="0" fontId="9" fillId="18" borderId="0" xfId="0" applyFont="1" applyFill="1" applyAlignment="1">
      <alignment horizontal="center" vertical="center" wrapText="1"/>
    </xf>
    <xf numFmtId="3" fontId="2" fillId="18" borderId="0" xfId="0" applyNumberFormat="1" applyFont="1" applyFill="1" applyAlignment="1">
      <alignment vertical="center"/>
    </xf>
    <xf numFmtId="2" fontId="0" fillId="0" borderId="0" xfId="0" applyNumberFormat="1"/>
    <xf numFmtId="5" fontId="10" fillId="19" borderId="88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10" fontId="9" fillId="0" borderId="0" xfId="0" applyNumberFormat="1" applyFont="1"/>
    <xf numFmtId="4" fontId="9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179" fontId="9" fillId="0" borderId="0" xfId="0" applyNumberFormat="1" applyFont="1" applyAlignment="1">
      <alignment horizontal="center" vertical="center" wrapText="1"/>
    </xf>
    <xf numFmtId="0" fontId="33" fillId="0" borderId="0" xfId="3" applyFont="1"/>
    <xf numFmtId="0" fontId="4" fillId="0" borderId="0" xfId="3" applyFont="1"/>
    <xf numFmtId="0" fontId="9" fillId="0" borderId="0" xfId="3" applyFont="1"/>
    <xf numFmtId="0" fontId="45" fillId="35" borderId="20" xfId="3" applyFont="1" applyFill="1" applyBorder="1" applyAlignment="1">
      <alignment horizontal="center" vertical="center" wrapText="1"/>
    </xf>
    <xf numFmtId="0" fontId="45" fillId="36" borderId="20" xfId="3" applyFont="1" applyFill="1" applyBorder="1" applyAlignment="1">
      <alignment horizontal="center" vertical="center" wrapText="1"/>
    </xf>
    <xf numFmtId="0" fontId="45" fillId="36" borderId="24" xfId="3" applyFont="1" applyFill="1" applyBorder="1" applyAlignment="1">
      <alignment horizontal="center" vertical="center" wrapText="1"/>
    </xf>
    <xf numFmtId="0" fontId="21" fillId="0" borderId="31" xfId="3" applyFont="1" applyBorder="1" applyAlignment="1">
      <alignment horizontal="left" vertical="center"/>
    </xf>
    <xf numFmtId="173" fontId="25" fillId="35" borderId="23" xfId="3" applyNumberFormat="1" applyFont="1" applyFill="1" applyBorder="1" applyAlignment="1">
      <alignment horizontal="center" vertical="center" wrapText="1"/>
    </xf>
    <xf numFmtId="173" fontId="21" fillId="35" borderId="23" xfId="3" applyNumberFormat="1" applyFont="1" applyFill="1" applyBorder="1" applyAlignment="1">
      <alignment horizontal="center" vertical="center" wrapText="1"/>
    </xf>
    <xf numFmtId="173" fontId="25" fillId="36" borderId="23" xfId="3" applyNumberFormat="1" applyFont="1" applyFill="1" applyBorder="1" applyAlignment="1">
      <alignment horizontal="center" vertical="center" wrapText="1"/>
    </xf>
    <xf numFmtId="3" fontId="21" fillId="36" borderId="45" xfId="3" applyNumberFormat="1" applyFont="1" applyFill="1" applyBorder="1" applyAlignment="1">
      <alignment horizontal="center" vertical="center" wrapText="1"/>
    </xf>
    <xf numFmtId="3" fontId="25" fillId="0" borderId="107" xfId="3" applyNumberFormat="1" applyFont="1" applyBorder="1" applyAlignment="1">
      <alignment horizontal="center" vertical="center" wrapText="1"/>
    </xf>
    <xf numFmtId="173" fontId="25" fillId="35" borderId="96" xfId="3" applyNumberFormat="1" applyFont="1" applyFill="1" applyBorder="1" applyAlignment="1">
      <alignment horizontal="center" vertical="center" wrapText="1"/>
    </xf>
    <xf numFmtId="173" fontId="25" fillId="36" borderId="100" xfId="3" applyNumberFormat="1" applyFont="1" applyFill="1" applyBorder="1" applyAlignment="1">
      <alignment horizontal="center" vertical="center" wrapText="1"/>
    </xf>
    <xf numFmtId="3" fontId="21" fillId="36" borderId="100" xfId="3" applyNumberFormat="1" applyFont="1" applyFill="1" applyBorder="1" applyAlignment="1">
      <alignment horizontal="center" vertical="center" wrapText="1"/>
    </xf>
    <xf numFmtId="173" fontId="5" fillId="35" borderId="68" xfId="3" applyNumberFormat="1" applyFont="1" applyFill="1" applyBorder="1" applyAlignment="1">
      <alignment horizontal="center" vertical="center" wrapText="1"/>
    </xf>
    <xf numFmtId="173" fontId="2" fillId="35" borderId="68" xfId="3" applyNumberFormat="1" applyFont="1" applyFill="1" applyBorder="1" applyAlignment="1">
      <alignment horizontal="center" vertical="center" wrapText="1"/>
    </xf>
    <xf numFmtId="173" fontId="5" fillId="36" borderId="38" xfId="3" applyNumberFormat="1" applyFont="1" applyFill="1" applyBorder="1" applyAlignment="1">
      <alignment horizontal="center" vertical="center" wrapText="1"/>
    </xf>
    <xf numFmtId="173" fontId="2" fillId="36" borderId="27" xfId="3" applyNumberFormat="1" applyFont="1" applyFill="1" applyBorder="1" applyAlignment="1">
      <alignment horizontal="center" vertical="center" wrapText="1"/>
    </xf>
    <xf numFmtId="175" fontId="10" fillId="19" borderId="88" xfId="3" applyNumberFormat="1" applyFont="1" applyFill="1" applyBorder="1" applyAlignment="1">
      <alignment horizontal="center" vertical="center"/>
    </xf>
    <xf numFmtId="0" fontId="4" fillId="16" borderId="0" xfId="3" applyFont="1" applyFill="1" applyAlignment="1">
      <alignment horizontal="center" vertical="center" wrapText="1"/>
    </xf>
    <xf numFmtId="173" fontId="5" fillId="16" borderId="0" xfId="3" applyNumberFormat="1" applyFont="1" applyFill="1" applyAlignment="1">
      <alignment horizontal="center" vertical="center" wrapText="1"/>
    </xf>
    <xf numFmtId="173" fontId="2" fillId="16" borderId="0" xfId="3" applyNumberFormat="1" applyFont="1" applyFill="1" applyAlignment="1">
      <alignment horizontal="center" vertical="center" wrapText="1"/>
    </xf>
    <xf numFmtId="175" fontId="10" fillId="16" borderId="50" xfId="3" applyNumberFormat="1" applyFont="1" applyFill="1" applyBorder="1" applyAlignment="1">
      <alignment horizontal="center" vertical="center"/>
    </xf>
    <xf numFmtId="0" fontId="2" fillId="16" borderId="0" xfId="3" applyFont="1" applyFill="1" applyAlignment="1">
      <alignment horizontal="left" vertical="center" wrapText="1"/>
    </xf>
    <xf numFmtId="0" fontId="9" fillId="16" borderId="0" xfId="3" applyFont="1" applyFill="1" applyAlignment="1">
      <alignment horizontal="center" vertical="center" wrapText="1"/>
    </xf>
    <xf numFmtId="0" fontId="9" fillId="16" borderId="0" xfId="3" applyFont="1" applyFill="1" applyAlignment="1">
      <alignment vertical="center" wrapText="1"/>
    </xf>
    <xf numFmtId="5" fontId="105" fillId="16" borderId="0" xfId="3" applyNumberFormat="1" applyFont="1" applyFill="1" applyAlignment="1">
      <alignment horizontal="center" vertical="center" wrapText="1"/>
    </xf>
    <xf numFmtId="3" fontId="10" fillId="0" borderId="152" xfId="3" applyNumberFormat="1" applyFont="1" applyBorder="1" applyAlignment="1">
      <alignment horizontal="center" vertical="center"/>
    </xf>
    <xf numFmtId="180" fontId="2" fillId="37" borderId="16" xfId="0" applyNumberFormat="1" applyFont="1" applyFill="1" applyBorder="1" applyAlignment="1">
      <alignment horizontal="center" vertical="center"/>
    </xf>
    <xf numFmtId="10" fontId="4" fillId="0" borderId="152" xfId="3" applyNumberFormat="1" applyFont="1" applyBorder="1" applyAlignment="1">
      <alignment horizontal="center" vertical="center" wrapText="1"/>
    </xf>
    <xf numFmtId="171" fontId="4" fillId="37" borderId="38" xfId="0" applyNumberFormat="1" applyFont="1" applyFill="1" applyBorder="1" applyAlignment="1">
      <alignment horizontal="center" vertical="center"/>
    </xf>
    <xf numFmtId="181" fontId="4" fillId="37" borderId="38" xfId="0" applyNumberFormat="1" applyFont="1" applyFill="1" applyBorder="1" applyAlignment="1">
      <alignment horizontal="center" vertical="center"/>
    </xf>
    <xf numFmtId="182" fontId="2" fillId="16" borderId="27" xfId="3" applyNumberFormat="1" applyFont="1" applyFill="1" applyBorder="1" applyAlignment="1">
      <alignment horizontal="center" vertical="center" wrapText="1"/>
    </xf>
    <xf numFmtId="3" fontId="5" fillId="0" borderId="106" xfId="3" applyNumberFormat="1" applyFont="1" applyBorder="1" applyAlignment="1">
      <alignment horizontal="center" vertical="center"/>
    </xf>
    <xf numFmtId="3" fontId="5" fillId="0" borderId="110" xfId="3" applyNumberFormat="1" applyFont="1" applyBorder="1" applyAlignment="1">
      <alignment horizontal="center" vertical="center"/>
    </xf>
    <xf numFmtId="183" fontId="51" fillId="0" borderId="0" xfId="3" applyNumberFormat="1"/>
    <xf numFmtId="3" fontId="4" fillId="0" borderId="0" xfId="3" applyNumberFormat="1" applyFont="1" applyAlignment="1">
      <alignment horizontal="center" vertical="center"/>
    </xf>
    <xf numFmtId="175" fontId="4" fillId="19" borderId="88" xfId="3" applyNumberFormat="1" applyFont="1" applyFill="1" applyBorder="1" applyAlignment="1">
      <alignment horizontal="center" vertical="center"/>
    </xf>
    <xf numFmtId="0" fontId="106" fillId="0" borderId="0" xfId="3" applyFont="1"/>
    <xf numFmtId="0" fontId="54" fillId="0" borderId="0" xfId="3" applyFont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3" fontId="9" fillId="0" borderId="0" xfId="3" applyNumberFormat="1" applyFont="1" applyAlignment="1">
      <alignment vertical="center"/>
    </xf>
    <xf numFmtId="10" fontId="51" fillId="0" borderId="0" xfId="3" applyNumberFormat="1"/>
    <xf numFmtId="165" fontId="7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center"/>
    </xf>
    <xf numFmtId="165" fontId="2" fillId="0" borderId="8" xfId="0" applyNumberFormat="1" applyFont="1" applyBorder="1" applyAlignment="1">
      <alignment horizontal="center" vertical="center" wrapText="1"/>
    </xf>
    <xf numFmtId="1" fontId="2" fillId="0" borderId="8" xfId="0" applyNumberFormat="1" applyFont="1" applyBorder="1"/>
    <xf numFmtId="165" fontId="2" fillId="0" borderId="8" xfId="0" applyNumberFormat="1" applyFont="1" applyBorder="1" applyAlignment="1">
      <alignment horizontal="right"/>
    </xf>
    <xf numFmtId="1" fontId="5" fillId="0" borderId="8" xfId="0" applyNumberFormat="1" applyFont="1" applyBorder="1"/>
    <xf numFmtId="165" fontId="95" fillId="0" borderId="8" xfId="0" applyNumberFormat="1" applyFont="1" applyBorder="1"/>
    <xf numFmtId="1" fontId="96" fillId="0" borderId="8" xfId="0" applyNumberFormat="1" applyFont="1" applyBorder="1"/>
    <xf numFmtId="165" fontId="48" fillId="21" borderId="8" xfId="0" applyNumberFormat="1" applyFont="1" applyFill="1" applyBorder="1"/>
    <xf numFmtId="165" fontId="2" fillId="0" borderId="9" xfId="0" applyNumberFormat="1" applyFont="1" applyBorder="1"/>
    <xf numFmtId="1" fontId="2" fillId="0" borderId="9" xfId="0" applyNumberFormat="1" applyFont="1" applyBorder="1"/>
    <xf numFmtId="165" fontId="2" fillId="0" borderId="9" xfId="0" applyNumberFormat="1" applyFont="1" applyBorder="1" applyAlignment="1">
      <alignment horizontal="right"/>
    </xf>
    <xf numFmtId="165" fontId="48" fillId="0" borderId="6" xfId="0" applyNumberFormat="1" applyFont="1" applyBorder="1"/>
    <xf numFmtId="1" fontId="2" fillId="0" borderId="6" xfId="0" applyNumberFormat="1" applyFont="1" applyBorder="1"/>
    <xf numFmtId="165" fontId="2" fillId="0" borderId="6" xfId="0" applyNumberFormat="1" applyFont="1" applyBorder="1" applyAlignment="1">
      <alignment horizontal="right"/>
    </xf>
    <xf numFmtId="165" fontId="48" fillId="23" borderId="8" xfId="0" applyNumberFormat="1" applyFont="1" applyFill="1" applyBorder="1"/>
    <xf numFmtId="1" fontId="5" fillId="0" borderId="9" xfId="0" applyNumberFormat="1" applyFont="1" applyBorder="1"/>
    <xf numFmtId="173" fontId="2" fillId="0" borderId="9" xfId="0" applyNumberFormat="1" applyFont="1" applyBorder="1" applyAlignment="1">
      <alignment horizontal="right"/>
    </xf>
    <xf numFmtId="165" fontId="48" fillId="35" borderId="8" xfId="0" applyNumberFormat="1" applyFont="1" applyFill="1" applyBorder="1"/>
    <xf numFmtId="165" fontId="5" fillId="35" borderId="8" xfId="0" applyNumberFormat="1" applyFont="1" applyFill="1" applyBorder="1" applyAlignment="1">
      <alignment horizontal="right"/>
    </xf>
    <xf numFmtId="0" fontId="48" fillId="35" borderId="8" xfId="0" applyFont="1" applyFill="1" applyBorder="1"/>
    <xf numFmtId="165" fontId="72" fillId="21" borderId="16" xfId="0" applyNumberFormat="1" applyFont="1" applyFill="1" applyBorder="1"/>
    <xf numFmtId="1" fontId="72" fillId="21" borderId="16" xfId="0" applyNumberFormat="1" applyFont="1" applyFill="1" applyBorder="1"/>
    <xf numFmtId="165" fontId="72" fillId="21" borderId="16" xfId="0" applyNumberFormat="1" applyFont="1" applyFill="1" applyBorder="1" applyAlignment="1">
      <alignment horizontal="right"/>
    </xf>
    <xf numFmtId="0" fontId="68" fillId="23" borderId="16" xfId="0" applyFont="1" applyFill="1" applyBorder="1"/>
    <xf numFmtId="1" fontId="68" fillId="23" borderId="16" xfId="0" applyNumberFormat="1" applyFont="1" applyFill="1" applyBorder="1"/>
    <xf numFmtId="165" fontId="68" fillId="23" borderId="16" xfId="0" applyNumberFormat="1" applyFont="1" applyFill="1" applyBorder="1"/>
    <xf numFmtId="0" fontId="17" fillId="39" borderId="8" xfId="0" applyFont="1" applyFill="1" applyBorder="1" applyAlignment="1">
      <alignment horizontal="center"/>
    </xf>
    <xf numFmtId="0" fontId="18" fillId="39" borderId="8" xfId="0" applyFont="1" applyFill="1" applyBorder="1" applyAlignment="1">
      <alignment vertical="center" wrapText="1"/>
    </xf>
    <xf numFmtId="165" fontId="14" fillId="39" borderId="8" xfId="0" applyNumberFormat="1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2" fillId="0" borderId="6" xfId="0" applyFont="1" applyBorder="1"/>
    <xf numFmtId="165" fontId="14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center" vertical="center"/>
    </xf>
    <xf numFmtId="0" fontId="15" fillId="0" borderId="156" xfId="0" applyFont="1" applyBorder="1" applyAlignment="1">
      <alignment horizontal="center"/>
    </xf>
    <xf numFmtId="165" fontId="2" fillId="0" borderId="156" xfId="0" applyNumberFormat="1" applyFont="1" applyBorder="1" applyAlignment="1">
      <alignment horizontal="right" vertical="center"/>
    </xf>
    <xf numFmtId="165" fontId="14" fillId="0" borderId="156" xfId="0" applyNumberFormat="1" applyFont="1" applyBorder="1" applyAlignment="1">
      <alignment horizontal="right" vertical="center"/>
    </xf>
    <xf numFmtId="165" fontId="2" fillId="0" borderId="156" xfId="0" applyNumberFormat="1" applyFont="1" applyBorder="1" applyAlignment="1">
      <alignment horizontal="center" vertical="center"/>
    </xf>
    <xf numFmtId="165" fontId="14" fillId="0" borderId="6" xfId="0" applyNumberFormat="1" applyFont="1" applyBorder="1" applyAlignment="1">
      <alignment horizontal="center" vertical="center"/>
    </xf>
    <xf numFmtId="0" fontId="15" fillId="38" borderId="116" xfId="0" applyFont="1" applyFill="1" applyBorder="1" applyAlignment="1">
      <alignment horizontal="center"/>
    </xf>
    <xf numFmtId="0" fontId="2" fillId="0" borderId="157" xfId="0" applyFont="1" applyBorder="1" applyAlignment="1">
      <alignment horizontal="left" vertical="center" wrapText="1" indent="2"/>
    </xf>
    <xf numFmtId="0" fontId="2" fillId="0" borderId="154" xfId="0" applyFont="1" applyBorder="1" applyAlignment="1">
      <alignment horizontal="left" vertical="center" wrapText="1" indent="2"/>
    </xf>
    <xf numFmtId="0" fontId="2" fillId="0" borderId="155" xfId="0" applyFont="1" applyBorder="1" applyAlignment="1">
      <alignment horizontal="left" vertical="center" wrapText="1" indent="2"/>
    </xf>
    <xf numFmtId="0" fontId="108" fillId="0" borderId="0" xfId="0" applyFont="1"/>
    <xf numFmtId="0" fontId="11" fillId="0" borderId="15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38" borderId="57" xfId="0" applyFont="1" applyFill="1" applyBorder="1" applyAlignment="1">
      <alignment horizontal="left"/>
    </xf>
    <xf numFmtId="0" fontId="2" fillId="0" borderId="159" xfId="0" applyFont="1" applyBorder="1" applyAlignment="1">
      <alignment horizontal="left" vertical="center" wrapText="1" indent="2"/>
    </xf>
    <xf numFmtId="0" fontId="2" fillId="0" borderId="18" xfId="0" applyFont="1" applyBorder="1"/>
    <xf numFmtId="0" fontId="18" fillId="39" borderId="10" xfId="0" applyFont="1" applyFill="1" applyBorder="1" applyAlignment="1">
      <alignment vertical="center" wrapText="1"/>
    </xf>
    <xf numFmtId="49" fontId="5" fillId="0" borderId="86" xfId="0" applyNumberFormat="1" applyFont="1" applyBorder="1" applyAlignment="1">
      <alignment vertical="center"/>
    </xf>
    <xf numFmtId="165" fontId="11" fillId="0" borderId="165" xfId="0" applyNumberFormat="1" applyFont="1" applyBorder="1" applyAlignment="1">
      <alignment horizontal="center" vertical="center" wrapText="1"/>
    </xf>
    <xf numFmtId="165" fontId="11" fillId="0" borderId="166" xfId="0" applyNumberFormat="1" applyFont="1" applyBorder="1" applyAlignment="1">
      <alignment horizontal="center" vertical="center"/>
    </xf>
    <xf numFmtId="165" fontId="14" fillId="0" borderId="167" xfId="0" applyNumberFormat="1" applyFont="1" applyBorder="1" applyAlignment="1">
      <alignment horizontal="center" vertical="center"/>
    </xf>
    <xf numFmtId="165" fontId="14" fillId="0" borderId="168" xfId="0" applyNumberFormat="1" applyFont="1" applyBorder="1" applyAlignment="1">
      <alignment horizontal="center" vertical="center"/>
    </xf>
    <xf numFmtId="165" fontId="14" fillId="0" borderId="169" xfId="0" applyNumberFormat="1" applyFont="1" applyBorder="1" applyAlignment="1">
      <alignment horizontal="center" vertical="center"/>
    </xf>
    <xf numFmtId="165" fontId="14" fillId="0" borderId="170" xfId="0" applyNumberFormat="1" applyFont="1" applyBorder="1" applyAlignment="1">
      <alignment horizontal="center" vertical="center"/>
    </xf>
    <xf numFmtId="165" fontId="14" fillId="0" borderId="165" xfId="0" applyNumberFormat="1" applyFont="1" applyBorder="1" applyAlignment="1">
      <alignment horizontal="center" vertical="center"/>
    </xf>
    <xf numFmtId="165" fontId="14" fillId="0" borderId="166" xfId="0" applyNumberFormat="1" applyFont="1" applyBorder="1" applyAlignment="1">
      <alignment horizontal="center" vertical="center"/>
    </xf>
    <xf numFmtId="165" fontId="2" fillId="0" borderId="167" xfId="0" applyNumberFormat="1" applyFont="1" applyBorder="1" applyAlignment="1">
      <alignment horizontal="right" vertical="center"/>
    </xf>
    <xf numFmtId="165" fontId="2" fillId="0" borderId="168" xfId="0" applyNumberFormat="1" applyFont="1" applyBorder="1" applyAlignment="1">
      <alignment horizontal="right" vertical="center"/>
    </xf>
    <xf numFmtId="165" fontId="2" fillId="0" borderId="169" xfId="0" applyNumberFormat="1" applyFont="1" applyBorder="1" applyAlignment="1">
      <alignment horizontal="right" vertical="center"/>
    </xf>
    <xf numFmtId="165" fontId="2" fillId="0" borderId="170" xfId="0" applyNumberFormat="1" applyFont="1" applyBorder="1" applyAlignment="1">
      <alignment horizontal="right" vertical="center"/>
    </xf>
    <xf numFmtId="165" fontId="2" fillId="0" borderId="171" xfId="0" applyNumberFormat="1" applyFont="1" applyBorder="1" applyAlignment="1">
      <alignment horizontal="right" vertical="center"/>
    </xf>
    <xf numFmtId="165" fontId="2" fillId="0" borderId="172" xfId="0" applyNumberFormat="1" applyFont="1" applyBorder="1" applyAlignment="1">
      <alignment horizontal="right" vertical="center"/>
    </xf>
    <xf numFmtId="165" fontId="14" fillId="0" borderId="165" xfId="0" applyNumberFormat="1" applyFont="1" applyBorder="1" applyAlignment="1">
      <alignment horizontal="right" vertical="center"/>
    </xf>
    <xf numFmtId="165" fontId="14" fillId="0" borderId="166" xfId="0" applyNumberFormat="1" applyFont="1" applyBorder="1" applyAlignment="1">
      <alignment horizontal="right" vertical="center"/>
    </xf>
    <xf numFmtId="165" fontId="14" fillId="0" borderId="167" xfId="0" applyNumberFormat="1" applyFont="1" applyBorder="1" applyAlignment="1">
      <alignment horizontal="right" vertical="center"/>
    </xf>
    <xf numFmtId="165" fontId="14" fillId="0" borderId="168" xfId="0" applyNumberFormat="1" applyFont="1" applyBorder="1" applyAlignment="1">
      <alignment horizontal="right" vertical="center"/>
    </xf>
    <xf numFmtId="165" fontId="14" fillId="39" borderId="167" xfId="0" applyNumberFormat="1" applyFont="1" applyFill="1" applyBorder="1" applyAlignment="1">
      <alignment horizontal="center" vertical="center"/>
    </xf>
    <xf numFmtId="165" fontId="14" fillId="39" borderId="168" xfId="0" applyNumberFormat="1" applyFont="1" applyFill="1" applyBorder="1" applyAlignment="1">
      <alignment horizontal="center" vertical="center"/>
    </xf>
    <xf numFmtId="165" fontId="2" fillId="0" borderId="170" xfId="0" applyNumberFormat="1" applyFont="1" applyBorder="1" applyAlignment="1">
      <alignment horizontal="center" vertical="center"/>
    </xf>
    <xf numFmtId="165" fontId="14" fillId="0" borderId="173" xfId="0" applyNumberFormat="1" applyFont="1" applyBorder="1" applyAlignment="1">
      <alignment horizontal="center" vertical="center"/>
    </xf>
    <xf numFmtId="165" fontId="14" fillId="0" borderId="174" xfId="0" applyNumberFormat="1" applyFont="1" applyBorder="1" applyAlignment="1">
      <alignment horizontal="center" vertical="center"/>
    </xf>
    <xf numFmtId="165" fontId="2" fillId="0" borderId="166" xfId="0" applyNumberFormat="1" applyFont="1" applyBorder="1" applyAlignment="1">
      <alignment horizontal="center" vertical="center"/>
    </xf>
    <xf numFmtId="165" fontId="14" fillId="0" borderId="169" xfId="0" applyNumberFormat="1" applyFont="1" applyBorder="1" applyAlignment="1">
      <alignment horizontal="right" vertical="center"/>
    </xf>
    <xf numFmtId="165" fontId="2" fillId="0" borderId="175" xfId="0" applyNumberFormat="1" applyFont="1" applyBorder="1" applyAlignment="1">
      <alignment horizontal="right" vertical="center"/>
    </xf>
    <xf numFmtId="165" fontId="14" fillId="0" borderId="171" xfId="0" applyNumberFormat="1" applyFont="1" applyBorder="1" applyAlignment="1">
      <alignment horizontal="right" vertical="center"/>
    </xf>
    <xf numFmtId="165" fontId="14" fillId="0" borderId="170" xfId="0" applyNumberFormat="1" applyFont="1" applyBorder="1" applyAlignment="1">
      <alignment horizontal="right" vertical="center"/>
    </xf>
    <xf numFmtId="165" fontId="2" fillId="0" borderId="165" xfId="0" applyNumberFormat="1" applyFont="1" applyBorder="1" applyAlignment="1">
      <alignment horizontal="center" vertical="center"/>
    </xf>
    <xf numFmtId="165" fontId="2" fillId="0" borderId="176" xfId="0" applyNumberFormat="1" applyFont="1" applyBorder="1" applyAlignment="1">
      <alignment horizontal="right" vertical="center"/>
    </xf>
    <xf numFmtId="165" fontId="11" fillId="0" borderId="0" xfId="0" applyNumberFormat="1" applyFont="1" applyBorder="1" applyAlignment="1">
      <alignment horizontal="right" vertical="center"/>
    </xf>
    <xf numFmtId="0" fontId="11" fillId="0" borderId="160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/>
    </xf>
    <xf numFmtId="0" fontId="15" fillId="0" borderId="47" xfId="0" applyFont="1" applyBorder="1" applyAlignment="1">
      <alignment horizontal="center"/>
    </xf>
    <xf numFmtId="0" fontId="15" fillId="38" borderId="119" xfId="0" applyFont="1" applyFill="1" applyBorder="1" applyAlignment="1">
      <alignment horizontal="center"/>
    </xf>
    <xf numFmtId="0" fontId="15" fillId="0" borderId="55" xfId="0" applyFont="1" applyBorder="1" applyAlignment="1">
      <alignment horizontal="center"/>
    </xf>
    <xf numFmtId="0" fontId="15" fillId="0" borderId="64" xfId="0" applyFont="1" applyBorder="1" applyAlignment="1">
      <alignment horizontal="center" vertical="top"/>
    </xf>
    <xf numFmtId="0" fontId="15" fillId="0" borderId="161" xfId="0" applyFont="1" applyBorder="1" applyAlignment="1">
      <alignment horizontal="center"/>
    </xf>
    <xf numFmtId="0" fontId="17" fillId="39" borderId="64" xfId="0" applyFont="1" applyFill="1" applyBorder="1" applyAlignment="1">
      <alignment horizontal="center"/>
    </xf>
    <xf numFmtId="0" fontId="17" fillId="0" borderId="66" xfId="0" applyFont="1" applyBorder="1" applyAlignment="1">
      <alignment horizontal="center"/>
    </xf>
    <xf numFmtId="165" fontId="5" fillId="0" borderId="168" xfId="0" applyNumberFormat="1" applyFont="1" applyBorder="1" applyAlignment="1">
      <alignment horizontal="right" vertical="center"/>
    </xf>
    <xf numFmtId="165" fontId="14" fillId="0" borderId="177" xfId="0" applyNumberFormat="1" applyFont="1" applyBorder="1" applyAlignment="1">
      <alignment horizontal="right" vertical="center"/>
    </xf>
    <xf numFmtId="0" fontId="0" fillId="0" borderId="177" xfId="0" applyBorder="1"/>
    <xf numFmtId="165" fontId="2" fillId="0" borderId="172" xfId="0" applyNumberFormat="1" applyFont="1" applyBorder="1" applyAlignment="1">
      <alignment vertical="center"/>
    </xf>
    <xf numFmtId="165" fontId="2" fillId="0" borderId="177" xfId="0" applyNumberFormat="1" applyFont="1" applyBorder="1" applyAlignment="1">
      <alignment vertical="center"/>
    </xf>
    <xf numFmtId="165" fontId="2" fillId="0" borderId="169" xfId="0" applyNumberFormat="1" applyFont="1" applyBorder="1" applyAlignment="1">
      <alignment horizontal="center" vertical="center"/>
    </xf>
    <xf numFmtId="0" fontId="11" fillId="0" borderId="158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49" fontId="11" fillId="0" borderId="10" xfId="0" applyNumberFormat="1" applyFont="1" applyBorder="1" applyAlignment="1">
      <alignment horizontal="left" vertical="center" indent="1"/>
    </xf>
    <xf numFmtId="0" fontId="11" fillId="0" borderId="10" xfId="0" applyFont="1" applyBorder="1" applyAlignment="1">
      <alignment horizontal="left" vertical="center" indent="1"/>
    </xf>
    <xf numFmtId="0" fontId="11" fillId="0" borderId="10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/>
    </xf>
    <xf numFmtId="0" fontId="12" fillId="0" borderId="18" xfId="0" applyFont="1" applyBorder="1" applyAlignment="1">
      <alignment vertical="center"/>
    </xf>
    <xf numFmtId="0" fontId="24" fillId="3" borderId="22" xfId="0" applyFont="1" applyFill="1" applyBorder="1" applyAlignment="1">
      <alignment vertical="center"/>
    </xf>
    <xf numFmtId="0" fontId="11" fillId="0" borderId="165" xfId="0" applyFont="1" applyBorder="1" applyAlignment="1">
      <alignment horizontal="center" vertical="center" wrapText="1"/>
    </xf>
    <xf numFmtId="0" fontId="11" fillId="0" borderId="178" xfId="0" applyFont="1" applyBorder="1" applyAlignment="1">
      <alignment horizontal="center" vertical="center"/>
    </xf>
    <xf numFmtId="0" fontId="11" fillId="0" borderId="165" xfId="0" applyFont="1" applyBorder="1"/>
    <xf numFmtId="0" fontId="11" fillId="0" borderId="166" xfId="0" applyFont="1" applyBorder="1"/>
    <xf numFmtId="0" fontId="11" fillId="0" borderId="167" xfId="0" applyFont="1" applyBorder="1"/>
    <xf numFmtId="0" fontId="11" fillId="0" borderId="168" xfId="0" applyFont="1" applyBorder="1"/>
    <xf numFmtId="172" fontId="11" fillId="0" borderId="167" xfId="0" applyNumberFormat="1" applyFont="1" applyBorder="1"/>
    <xf numFmtId="172" fontId="11" fillId="0" borderId="168" xfId="0" applyNumberFormat="1" applyFont="1" applyBorder="1"/>
    <xf numFmtId="172" fontId="11" fillId="0" borderId="169" xfId="0" applyNumberFormat="1" applyFont="1" applyBorder="1"/>
    <xf numFmtId="172" fontId="11" fillId="0" borderId="170" xfId="0" applyNumberFormat="1" applyFont="1" applyBorder="1"/>
    <xf numFmtId="172" fontId="11" fillId="0" borderId="165" xfId="0" applyNumberFormat="1" applyFont="1" applyBorder="1"/>
    <xf numFmtId="172" fontId="11" fillId="0" borderId="166" xfId="0" applyNumberFormat="1" applyFont="1" applyBorder="1"/>
    <xf numFmtId="165" fontId="14" fillId="3" borderId="179" xfId="0" applyNumberFormat="1" applyFont="1" applyFill="1" applyBorder="1"/>
    <xf numFmtId="165" fontId="14" fillId="3" borderId="180" xfId="0" applyNumberFormat="1" applyFont="1" applyFill="1" applyBorder="1"/>
    <xf numFmtId="172" fontId="14" fillId="0" borderId="167" xfId="0" applyNumberFormat="1" applyFont="1" applyBorder="1"/>
    <xf numFmtId="172" fontId="14" fillId="0" borderId="168" xfId="0" applyNumberFormat="1" applyFont="1" applyBorder="1"/>
    <xf numFmtId="0" fontId="11" fillId="0" borderId="182" xfId="0" applyFont="1" applyBorder="1" applyAlignment="1">
      <alignment vertical="center"/>
    </xf>
    <xf numFmtId="0" fontId="11" fillId="0" borderId="61" xfId="0" applyFont="1" applyBorder="1" applyAlignment="1">
      <alignment horizontal="center" vertical="center" wrapText="1"/>
    </xf>
    <xf numFmtId="0" fontId="11" fillId="0" borderId="55" xfId="0" applyFont="1" applyBorder="1" applyAlignment="1">
      <alignment vertical="center"/>
    </xf>
    <xf numFmtId="0" fontId="11" fillId="0" borderId="64" xfId="0" applyFont="1" applyBorder="1" applyAlignment="1">
      <alignment vertical="center"/>
    </xf>
    <xf numFmtId="172" fontId="11" fillId="0" borderId="64" xfId="0" applyNumberFormat="1" applyFont="1" applyBorder="1" applyAlignment="1">
      <alignment vertical="center"/>
    </xf>
    <xf numFmtId="172" fontId="11" fillId="0" borderId="55" xfId="0" applyNumberFormat="1" applyFont="1" applyBorder="1" applyAlignment="1">
      <alignment vertical="center"/>
    </xf>
    <xf numFmtId="172" fontId="11" fillId="0" borderId="19" xfId="0" applyNumberFormat="1" applyFont="1" applyBorder="1" applyAlignment="1">
      <alignment vertical="center"/>
    </xf>
    <xf numFmtId="0" fontId="11" fillId="0" borderId="166" xfId="0" applyFont="1" applyBorder="1" applyAlignment="1">
      <alignment horizontal="center" vertical="center"/>
    </xf>
    <xf numFmtId="172" fontId="11" fillId="0" borderId="183" xfId="0" applyNumberFormat="1" applyFont="1" applyBorder="1"/>
    <xf numFmtId="172" fontId="11" fillId="0" borderId="184" xfId="0" applyNumberFormat="1" applyFont="1" applyBorder="1"/>
    <xf numFmtId="165" fontId="14" fillId="3" borderId="185" xfId="0" applyNumberFormat="1" applyFont="1" applyFill="1" applyBorder="1"/>
    <xf numFmtId="172" fontId="11" fillId="0" borderId="187" xfId="0" applyNumberFormat="1" applyFont="1" applyBorder="1"/>
    <xf numFmtId="172" fontId="11" fillId="0" borderId="188" xfId="0" applyNumberFormat="1" applyFont="1" applyBorder="1"/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6" fontId="5" fillId="23" borderId="13" xfId="0" applyNumberFormat="1" applyFont="1" applyFill="1" applyBorder="1" applyAlignment="1">
      <alignment horizontal="center" vertical="center" wrapText="1"/>
    </xf>
    <xf numFmtId="165" fontId="2" fillId="23" borderId="16" xfId="0" applyNumberFormat="1" applyFont="1" applyFill="1" applyBorder="1" applyAlignment="1">
      <alignment horizontal="center" vertical="center"/>
    </xf>
    <xf numFmtId="165" fontId="2" fillId="23" borderId="8" xfId="0" applyNumberFormat="1" applyFont="1" applyFill="1" applyBorder="1" applyAlignment="1">
      <alignment horizontal="center" vertical="center"/>
    </xf>
    <xf numFmtId="0" fontId="2" fillId="23" borderId="0" xfId="0" applyFont="1" applyFill="1" applyAlignment="1">
      <alignment vertical="center"/>
    </xf>
    <xf numFmtId="166" fontId="5" fillId="22" borderId="13" xfId="0" applyNumberFormat="1" applyFont="1" applyFill="1" applyBorder="1" applyAlignment="1">
      <alignment horizontal="center" vertical="center" wrapText="1"/>
    </xf>
    <xf numFmtId="165" fontId="2" fillId="22" borderId="16" xfId="0" applyNumberFormat="1" applyFont="1" applyFill="1" applyBorder="1" applyAlignment="1">
      <alignment horizontal="center" vertical="center"/>
    </xf>
    <xf numFmtId="165" fontId="2" fillId="22" borderId="8" xfId="0" applyNumberFormat="1" applyFont="1" applyFill="1" applyBorder="1" applyAlignment="1">
      <alignment horizontal="center" vertical="center"/>
    </xf>
    <xf numFmtId="0" fontId="2" fillId="22" borderId="0" xfId="0" applyFont="1" applyFill="1" applyAlignment="1">
      <alignment vertical="center"/>
    </xf>
    <xf numFmtId="166" fontId="5" fillId="27" borderId="13" xfId="0" applyNumberFormat="1" applyFont="1" applyFill="1" applyBorder="1" applyAlignment="1">
      <alignment horizontal="center" vertical="center" wrapText="1"/>
    </xf>
    <xf numFmtId="165" fontId="2" fillId="27" borderId="16" xfId="0" applyNumberFormat="1" applyFont="1" applyFill="1" applyBorder="1" applyAlignment="1">
      <alignment horizontal="center" vertical="center"/>
    </xf>
    <xf numFmtId="165" fontId="2" fillId="27" borderId="8" xfId="0" applyNumberFormat="1" applyFont="1" applyFill="1" applyBorder="1" applyAlignment="1">
      <alignment horizontal="center" vertical="center"/>
    </xf>
    <xf numFmtId="0" fontId="2" fillId="27" borderId="0" xfId="0" applyFont="1" applyFill="1" applyAlignment="1">
      <alignment vertical="center"/>
    </xf>
    <xf numFmtId="166" fontId="5" fillId="20" borderId="13" xfId="0" applyNumberFormat="1" applyFont="1" applyFill="1" applyBorder="1" applyAlignment="1">
      <alignment horizontal="center" vertical="center" wrapText="1"/>
    </xf>
    <xf numFmtId="165" fontId="2" fillId="20" borderId="16" xfId="0" applyNumberFormat="1" applyFont="1" applyFill="1" applyBorder="1" applyAlignment="1">
      <alignment horizontal="center" vertical="center"/>
    </xf>
    <xf numFmtId="165" fontId="2" fillId="20" borderId="8" xfId="0" applyNumberFormat="1" applyFont="1" applyFill="1" applyBorder="1" applyAlignment="1">
      <alignment horizontal="center" vertical="center"/>
    </xf>
    <xf numFmtId="0" fontId="2" fillId="20" borderId="0" xfId="0" applyFont="1" applyFill="1" applyAlignment="1">
      <alignment vertical="center"/>
    </xf>
    <xf numFmtId="166" fontId="5" fillId="21" borderId="86" xfId="0" applyNumberFormat="1" applyFont="1" applyFill="1" applyBorder="1" applyAlignment="1">
      <alignment horizontal="center" vertical="center" wrapText="1"/>
    </xf>
    <xf numFmtId="165" fontId="2" fillId="21" borderId="16" xfId="0" applyNumberFormat="1" applyFont="1" applyFill="1" applyBorder="1" applyAlignment="1">
      <alignment horizontal="center" vertical="center"/>
    </xf>
    <xf numFmtId="165" fontId="2" fillId="21" borderId="8" xfId="0" applyNumberFormat="1" applyFont="1" applyFill="1" applyBorder="1" applyAlignment="1">
      <alignment horizontal="center" vertical="center"/>
    </xf>
    <xf numFmtId="0" fontId="2" fillId="21" borderId="0" xfId="0" applyFont="1" applyFill="1" applyAlignment="1">
      <alignment vertical="center"/>
    </xf>
    <xf numFmtId="166" fontId="5" fillId="40" borderId="13" xfId="0" applyNumberFormat="1" applyFont="1" applyFill="1" applyBorder="1" applyAlignment="1">
      <alignment horizontal="center" vertical="center" wrapText="1"/>
    </xf>
    <xf numFmtId="165" fontId="2" fillId="40" borderId="16" xfId="0" applyNumberFormat="1" applyFont="1" applyFill="1" applyBorder="1" applyAlignment="1">
      <alignment horizontal="center" vertical="center"/>
    </xf>
    <xf numFmtId="165" fontId="2" fillId="40" borderId="8" xfId="0" applyNumberFormat="1" applyFont="1" applyFill="1" applyBorder="1" applyAlignment="1">
      <alignment horizontal="center" vertical="center"/>
    </xf>
    <xf numFmtId="0" fontId="2" fillId="31" borderId="0" xfId="0" applyFont="1" applyFill="1" applyAlignment="1">
      <alignment vertical="center"/>
    </xf>
    <xf numFmtId="0" fontId="109" fillId="0" borderId="0" xfId="0" applyFont="1"/>
    <xf numFmtId="0" fontId="110" fillId="0" borderId="8" xfId="0" applyFont="1" applyBorder="1" applyAlignment="1">
      <alignment horizontal="center"/>
    </xf>
    <xf numFmtId="0" fontId="48" fillId="0" borderId="8" xfId="0" applyFont="1" applyBorder="1" applyAlignment="1">
      <alignment horizontal="left" vertical="center"/>
    </xf>
    <xf numFmtId="165" fontId="48" fillId="23" borderId="8" xfId="0" applyNumberFormat="1" applyFont="1" applyFill="1" applyBorder="1" applyAlignment="1">
      <alignment horizontal="center" vertical="center"/>
    </xf>
    <xf numFmtId="165" fontId="48" fillId="22" borderId="8" xfId="0" applyNumberFormat="1" applyFont="1" applyFill="1" applyBorder="1" applyAlignment="1">
      <alignment horizontal="center" vertical="center"/>
    </xf>
    <xf numFmtId="165" fontId="48" fillId="27" borderId="8" xfId="0" applyNumberFormat="1" applyFont="1" applyFill="1" applyBorder="1" applyAlignment="1">
      <alignment horizontal="center" vertical="center"/>
    </xf>
    <xf numFmtId="165" fontId="48" fillId="20" borderId="8" xfId="0" applyNumberFormat="1" applyFont="1" applyFill="1" applyBorder="1" applyAlignment="1">
      <alignment horizontal="center" vertical="center"/>
    </xf>
    <xf numFmtId="165" fontId="48" fillId="21" borderId="8" xfId="0" applyNumberFormat="1" applyFont="1" applyFill="1" applyBorder="1" applyAlignment="1">
      <alignment horizontal="center" vertical="center"/>
    </xf>
    <xf numFmtId="165" fontId="48" fillId="40" borderId="8" xfId="0" applyNumberFormat="1" applyFont="1" applyFill="1" applyBorder="1" applyAlignment="1">
      <alignment horizontal="center" vertical="center"/>
    </xf>
    <xf numFmtId="165" fontId="111" fillId="0" borderId="0" xfId="0" applyNumberFormat="1" applyFont="1"/>
    <xf numFmtId="0" fontId="111" fillId="0" borderId="0" xfId="0" applyFont="1"/>
    <xf numFmtId="0" fontId="110" fillId="0" borderId="8" xfId="0" applyFont="1" applyBorder="1" applyAlignment="1">
      <alignment horizontal="left" vertical="center" wrapText="1"/>
    </xf>
    <xf numFmtId="0" fontId="48" fillId="0" borderId="8" xfId="0" applyFont="1" applyBorder="1" applyAlignment="1">
      <alignment horizontal="center" vertical="center"/>
    </xf>
    <xf numFmtId="0" fontId="110" fillId="0" borderId="8" xfId="0" applyFont="1" applyBorder="1" applyAlignment="1">
      <alignment horizontal="left"/>
    </xf>
    <xf numFmtId="0" fontId="48" fillId="0" borderId="8" xfId="0" applyFont="1" applyBorder="1"/>
    <xf numFmtId="0" fontId="48" fillId="0" borderId="8" xfId="0" applyFont="1" applyBorder="1" applyAlignment="1">
      <alignment wrapText="1"/>
    </xf>
    <xf numFmtId="0" fontId="48" fillId="0" borderId="8" xfId="0" applyFont="1" applyBorder="1" applyAlignment="1">
      <alignment horizontal="center"/>
    </xf>
    <xf numFmtId="0" fontId="110" fillId="0" borderId="5" xfId="0" applyFont="1" applyBorder="1" applyAlignment="1">
      <alignment horizontal="center"/>
    </xf>
    <xf numFmtId="0" fontId="110" fillId="0" borderId="5" xfId="0" applyFont="1" applyBorder="1" applyAlignment="1">
      <alignment horizontal="left"/>
    </xf>
    <xf numFmtId="165" fontId="48" fillId="23" borderId="5" xfId="0" applyNumberFormat="1" applyFont="1" applyFill="1" applyBorder="1" applyAlignment="1">
      <alignment horizontal="center" vertical="center"/>
    </xf>
    <xf numFmtId="165" fontId="48" fillId="22" borderId="5" xfId="0" applyNumberFormat="1" applyFont="1" applyFill="1" applyBorder="1" applyAlignment="1">
      <alignment horizontal="center" vertical="center"/>
    </xf>
    <xf numFmtId="165" fontId="48" fillId="27" borderId="5" xfId="0" applyNumberFormat="1" applyFont="1" applyFill="1" applyBorder="1" applyAlignment="1">
      <alignment horizontal="center" vertical="center"/>
    </xf>
    <xf numFmtId="165" fontId="48" fillId="20" borderId="5" xfId="0" applyNumberFormat="1" applyFont="1" applyFill="1" applyBorder="1" applyAlignment="1">
      <alignment horizontal="center" vertical="center"/>
    </xf>
    <xf numFmtId="165" fontId="48" fillId="21" borderId="5" xfId="0" applyNumberFormat="1" applyFont="1" applyFill="1" applyBorder="1" applyAlignment="1">
      <alignment horizontal="center" vertical="center"/>
    </xf>
    <xf numFmtId="165" fontId="48" fillId="40" borderId="5" xfId="0" applyNumberFormat="1" applyFont="1" applyFill="1" applyBorder="1" applyAlignment="1">
      <alignment horizontal="center" vertical="center"/>
    </xf>
    <xf numFmtId="165" fontId="5" fillId="23" borderId="0" xfId="0" applyNumberFormat="1" applyFont="1" applyFill="1"/>
    <xf numFmtId="165" fontId="5" fillId="22" borderId="0" xfId="0" applyNumberFormat="1" applyFont="1" applyFill="1"/>
    <xf numFmtId="165" fontId="5" fillId="21" borderId="0" xfId="0" applyNumberFormat="1" applyFont="1" applyFill="1"/>
    <xf numFmtId="0" fontId="60" fillId="0" borderId="191" xfId="5" applyBorder="1" applyAlignment="1">
      <alignment horizontal="center" vertical="center"/>
    </xf>
    <xf numFmtId="3" fontId="60" fillId="0" borderId="192" xfId="5" applyNumberFormat="1" applyBorder="1" applyAlignment="1">
      <alignment vertical="center"/>
    </xf>
    <xf numFmtId="3" fontId="60" fillId="16" borderId="192" xfId="5" applyNumberFormat="1" applyFill="1" applyBorder="1" applyAlignment="1">
      <alignment vertical="center"/>
    </xf>
    <xf numFmtId="172" fontId="2" fillId="0" borderId="8" xfId="0" applyNumberFormat="1" applyFont="1" applyBorder="1"/>
    <xf numFmtId="176" fontId="2" fillId="0" borderId="8" xfId="0" applyNumberFormat="1" applyFont="1" applyBorder="1"/>
    <xf numFmtId="165" fontId="5" fillId="0" borderId="187" xfId="0" applyNumberFormat="1" applyFont="1" applyBorder="1"/>
    <xf numFmtId="165" fontId="5" fillId="0" borderId="21" xfId="0" applyNumberFormat="1" applyFont="1" applyBorder="1"/>
    <xf numFmtId="0" fontId="0" fillId="0" borderId="0" xfId="0" applyFont="1" applyFill="1"/>
    <xf numFmtId="0" fontId="11" fillId="0" borderId="0" xfId="0" applyFont="1" applyFill="1"/>
    <xf numFmtId="168" fontId="2" fillId="0" borderId="0" xfId="0" applyNumberFormat="1" applyFont="1" applyFill="1"/>
    <xf numFmtId="0" fontId="11" fillId="0" borderId="0" xfId="0" applyFont="1" applyFill="1" applyAlignment="1">
      <alignment wrapText="1"/>
    </xf>
    <xf numFmtId="6" fontId="11" fillId="0" borderId="0" xfId="0" applyNumberFormat="1" applyFont="1" applyFill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165" fontId="2" fillId="21" borderId="0" xfId="0" applyNumberFormat="1" applyFont="1" applyFill="1" applyBorder="1" applyAlignment="1">
      <alignment horizontal="center" vertical="center" wrapText="1"/>
    </xf>
    <xf numFmtId="165" fontId="2" fillId="23" borderId="0" xfId="0" applyNumberFormat="1" applyFont="1" applyFill="1" applyBorder="1" applyAlignment="1">
      <alignment horizontal="center" vertical="center" wrapText="1"/>
    </xf>
    <xf numFmtId="165" fontId="2" fillId="22" borderId="0" xfId="0" applyNumberFormat="1" applyFont="1" applyFill="1" applyBorder="1" applyAlignment="1">
      <alignment horizontal="center" vertical="center" wrapText="1"/>
    </xf>
    <xf numFmtId="10" fontId="2" fillId="27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5" fontId="2" fillId="21" borderId="0" xfId="0" applyNumberFormat="1" applyFont="1" applyFill="1" applyBorder="1" applyAlignment="1">
      <alignment wrapText="1"/>
    </xf>
    <xf numFmtId="165" fontId="2" fillId="23" borderId="0" xfId="0" applyNumberFormat="1" applyFont="1" applyFill="1" applyBorder="1" applyAlignment="1">
      <alignment wrapText="1"/>
    </xf>
    <xf numFmtId="165" fontId="2" fillId="22" borderId="0" xfId="0" applyNumberFormat="1" applyFont="1" applyFill="1" applyBorder="1" applyAlignment="1">
      <alignment wrapText="1"/>
    </xf>
    <xf numFmtId="10" fontId="2" fillId="27" borderId="0" xfId="0" applyNumberFormat="1" applyFont="1" applyFill="1" applyBorder="1" applyAlignment="1">
      <alignment wrapText="1"/>
    </xf>
    <xf numFmtId="165" fontId="5" fillId="22" borderId="1" xfId="0" applyNumberFormat="1" applyFont="1" applyFill="1" applyBorder="1" applyAlignment="1"/>
    <xf numFmtId="165" fontId="5" fillId="21" borderId="0" xfId="0" applyNumberFormat="1" applyFont="1" applyFill="1" applyAlignment="1"/>
    <xf numFmtId="165" fontId="5" fillId="23" borderId="0" xfId="0" applyNumberFormat="1" applyFont="1" applyFill="1" applyAlignment="1"/>
    <xf numFmtId="165" fontId="5" fillId="22" borderId="0" xfId="0" applyNumberFormat="1" applyFont="1" applyFill="1" applyAlignment="1"/>
    <xf numFmtId="172" fontId="11" fillId="0" borderId="19" xfId="0" applyNumberFormat="1" applyFont="1" applyBorder="1"/>
    <xf numFmtId="172" fontId="11" fillId="0" borderId="189" xfId="0" applyNumberFormat="1" applyFont="1" applyBorder="1"/>
    <xf numFmtId="172" fontId="11" fillId="0" borderId="190" xfId="0" applyNumberFormat="1" applyFont="1" applyBorder="1"/>
    <xf numFmtId="172" fontId="0" fillId="23" borderId="0" xfId="0" applyNumberFormat="1" applyFont="1" applyFill="1"/>
    <xf numFmtId="172" fontId="0" fillId="22" borderId="0" xfId="0" applyNumberFormat="1" applyFont="1" applyFill="1"/>
    <xf numFmtId="0" fontId="0" fillId="28" borderId="0" xfId="0" applyFont="1" applyFill="1"/>
    <xf numFmtId="0" fontId="5" fillId="0" borderId="0" xfId="0" applyFont="1" applyAlignment="1">
      <alignment horizontal="center"/>
    </xf>
    <xf numFmtId="172" fontId="5" fillId="21" borderId="76" xfId="0" applyNumberFormat="1" applyFont="1" applyFill="1" applyBorder="1"/>
    <xf numFmtId="172" fontId="5" fillId="23" borderId="76" xfId="0" applyNumberFormat="1" applyFont="1" applyFill="1" applyBorder="1"/>
    <xf numFmtId="172" fontId="5" fillId="22" borderId="76" xfId="0" applyNumberFormat="1" applyFont="1" applyFill="1" applyBorder="1"/>
    <xf numFmtId="10" fontId="5" fillId="28" borderId="76" xfId="0" applyNumberFormat="1" applyFont="1" applyFill="1" applyBorder="1"/>
    <xf numFmtId="0" fontId="29" fillId="0" borderId="0" xfId="0" applyFont="1" applyBorder="1" applyAlignment="1">
      <alignment horizontal="right"/>
    </xf>
    <xf numFmtId="10" fontId="0" fillId="28" borderId="0" xfId="0" applyNumberFormat="1" applyFont="1" applyFill="1"/>
    <xf numFmtId="172" fontId="5" fillId="21" borderId="0" xfId="0" applyNumberFormat="1" applyFont="1" applyFill="1" applyAlignment="1"/>
    <xf numFmtId="172" fontId="5" fillId="23" borderId="0" xfId="0" applyNumberFormat="1" applyFont="1" applyFill="1" applyAlignment="1"/>
    <xf numFmtId="172" fontId="5" fillId="22" borderId="0" xfId="0" applyNumberFormat="1" applyFont="1" applyFill="1" applyAlignment="1"/>
    <xf numFmtId="0" fontId="2" fillId="0" borderId="6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3" fontId="2" fillId="0" borderId="165" xfId="0" applyNumberFormat="1" applyFont="1" applyBorder="1" applyAlignment="1">
      <alignment horizontal="right"/>
    </xf>
    <xf numFmtId="3" fontId="2" fillId="0" borderId="6" xfId="0" applyNumberFormat="1" applyFont="1" applyBorder="1" applyAlignment="1">
      <alignment horizontal="right"/>
    </xf>
    <xf numFmtId="3" fontId="2" fillId="0" borderId="166" xfId="0" applyNumberFormat="1" applyFont="1" applyBorder="1" applyAlignment="1">
      <alignment horizontal="right"/>
    </xf>
    <xf numFmtId="0" fontId="2" fillId="0" borderId="5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3" fontId="2" fillId="0" borderId="18" xfId="0" applyNumberFormat="1" applyFont="1" applyBorder="1" applyAlignment="1">
      <alignment horizontal="right"/>
    </xf>
    <xf numFmtId="3" fontId="2" fillId="0" borderId="5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  <xf numFmtId="3" fontId="2" fillId="0" borderId="0" xfId="0" applyNumberFormat="1" applyFont="1" applyBorder="1"/>
    <xf numFmtId="1" fontId="2" fillId="0" borderId="10" xfId="0" applyNumberFormat="1" applyFont="1" applyBorder="1" applyAlignment="1">
      <alignment vertical="center"/>
    </xf>
    <xf numFmtId="3" fontId="2" fillId="0" borderId="167" xfId="0" applyNumberFormat="1" applyFont="1" applyBorder="1" applyAlignment="1">
      <alignment horizontal="right"/>
    </xf>
    <xf numFmtId="3" fontId="2" fillId="0" borderId="8" xfId="0" applyNumberFormat="1" applyFont="1" applyBorder="1" applyAlignment="1">
      <alignment horizontal="right"/>
    </xf>
    <xf numFmtId="3" fontId="2" fillId="0" borderId="168" xfId="0" applyNumberFormat="1" applyFont="1" applyBorder="1" applyAlignment="1">
      <alignment horizontal="right"/>
    </xf>
    <xf numFmtId="0" fontId="2" fillId="0" borderId="64" xfId="0" applyFont="1" applyBorder="1" applyAlignment="1">
      <alignment vertical="center"/>
    </xf>
    <xf numFmtId="1" fontId="2" fillId="0" borderId="55" xfId="0" applyNumberFormat="1" applyFont="1" applyBorder="1" applyAlignment="1">
      <alignment vertical="center"/>
    </xf>
    <xf numFmtId="1" fontId="2" fillId="0" borderId="37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3" fontId="2" fillId="0" borderId="169" xfId="0" applyNumberFormat="1" applyFont="1" applyBorder="1" applyAlignment="1">
      <alignment horizontal="right"/>
    </xf>
    <xf numFmtId="3" fontId="2" fillId="0" borderId="9" xfId="0" applyNumberFormat="1" applyFont="1" applyBorder="1" applyAlignment="1">
      <alignment horizontal="right"/>
    </xf>
    <xf numFmtId="3" fontId="2" fillId="0" borderId="170" xfId="0" applyNumberFormat="1" applyFont="1" applyBorder="1" applyAlignment="1">
      <alignment horizontal="right"/>
    </xf>
    <xf numFmtId="0" fontId="0" fillId="0" borderId="64" xfId="0" applyFont="1" applyBorder="1"/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81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175" xfId="0" applyFont="1" applyBorder="1" applyAlignment="1">
      <alignment horizontal="right"/>
    </xf>
    <xf numFmtId="3" fontId="2" fillId="0" borderId="12" xfId="0" applyNumberFormat="1" applyFont="1" applyBorder="1" applyAlignment="1">
      <alignment horizontal="right"/>
    </xf>
    <xf numFmtId="0" fontId="2" fillId="0" borderId="47" xfId="0" applyFont="1" applyBorder="1" applyAlignment="1">
      <alignment vertical="center"/>
    </xf>
    <xf numFmtId="3" fontId="2" fillId="0" borderId="37" xfId="0" applyNumberFormat="1" applyFont="1" applyBorder="1" applyAlignment="1">
      <alignment horizontal="right"/>
    </xf>
    <xf numFmtId="0" fontId="5" fillId="21" borderId="16" xfId="0" applyFont="1" applyFill="1" applyBorder="1" applyAlignment="1">
      <alignment vertical="center"/>
    </xf>
    <xf numFmtId="0" fontId="5" fillId="21" borderId="17" xfId="0" applyFont="1" applyFill="1" applyBorder="1" applyAlignment="1">
      <alignment vertical="center"/>
    </xf>
    <xf numFmtId="3" fontId="5" fillId="21" borderId="193" xfId="0" applyNumberFormat="1" applyFont="1" applyFill="1" applyBorder="1" applyAlignment="1">
      <alignment horizontal="right"/>
    </xf>
    <xf numFmtId="3" fontId="5" fillId="21" borderId="16" xfId="0" applyNumberFormat="1" applyFont="1" applyFill="1" applyBorder="1" applyAlignment="1">
      <alignment horizontal="right"/>
    </xf>
    <xf numFmtId="3" fontId="5" fillId="21" borderId="178" xfId="0" applyNumberFormat="1" applyFont="1" applyFill="1" applyBorder="1" applyAlignment="1">
      <alignment horizontal="right"/>
    </xf>
    <xf numFmtId="0" fontId="5" fillId="21" borderId="61" xfId="0" applyFont="1" applyFill="1" applyBorder="1" applyAlignment="1">
      <alignment vertical="center"/>
    </xf>
    <xf numFmtId="3" fontId="5" fillId="21" borderId="17" xfId="0" applyNumberFormat="1" applyFont="1" applyFill="1" applyBorder="1" applyAlignment="1">
      <alignment horizontal="right"/>
    </xf>
    <xf numFmtId="3" fontId="5" fillId="21" borderId="142" xfId="0" applyNumberFormat="1" applyFont="1" applyFill="1" applyBorder="1" applyAlignment="1">
      <alignment horizontal="right"/>
    </xf>
    <xf numFmtId="3" fontId="5" fillId="0" borderId="0" xfId="0" applyNumberFormat="1" applyFont="1" applyBorder="1"/>
    <xf numFmtId="49" fontId="5" fillId="0" borderId="0" xfId="0" applyNumberFormat="1" applyFont="1" applyAlignment="1">
      <alignment horizontal="right"/>
    </xf>
    <xf numFmtId="0" fontId="11" fillId="39" borderId="21" xfId="0" applyFont="1" applyFill="1" applyBorder="1" applyAlignment="1">
      <alignment vertical="center"/>
    </xf>
    <xf numFmtId="0" fontId="11" fillId="39" borderId="22" xfId="0" applyFont="1" applyFill="1" applyBorder="1" applyAlignment="1">
      <alignment vertical="center"/>
    </xf>
    <xf numFmtId="172" fontId="11" fillId="39" borderId="179" xfId="0" applyNumberFormat="1" applyFont="1" applyFill="1" applyBorder="1"/>
    <xf numFmtId="172" fontId="11" fillId="39" borderId="21" xfId="0" applyNumberFormat="1" applyFont="1" applyFill="1" applyBorder="1"/>
    <xf numFmtId="172" fontId="11" fillId="39" borderId="180" xfId="0" applyNumberFormat="1" applyFont="1" applyFill="1" applyBorder="1"/>
    <xf numFmtId="172" fontId="11" fillId="39" borderId="26" xfId="0" applyNumberFormat="1" applyFont="1" applyFill="1" applyBorder="1" applyAlignment="1">
      <alignment vertical="center"/>
    </xf>
    <xf numFmtId="172" fontId="11" fillId="39" borderId="21" xfId="0" applyNumberFormat="1" applyFont="1" applyFill="1" applyBorder="1" applyAlignment="1">
      <alignment vertical="center"/>
    </xf>
    <xf numFmtId="172" fontId="11" fillId="39" borderId="22" xfId="0" applyNumberFormat="1" applyFont="1" applyFill="1" applyBorder="1"/>
    <xf numFmtId="0" fontId="11" fillId="27" borderId="7" xfId="0" applyFont="1" applyFill="1" applyBorder="1" applyAlignment="1">
      <alignment vertical="center"/>
    </xf>
    <xf numFmtId="0" fontId="12" fillId="41" borderId="12" xfId="0" applyFont="1" applyFill="1" applyBorder="1" applyAlignment="1">
      <alignment vertical="center"/>
    </xf>
    <xf numFmtId="172" fontId="11" fillId="41" borderId="181" xfId="0" applyNumberFormat="1" applyFont="1" applyFill="1" applyBorder="1"/>
    <xf numFmtId="172" fontId="11" fillId="41" borderId="7" xfId="0" applyNumberFormat="1" applyFont="1" applyFill="1" applyBorder="1"/>
    <xf numFmtId="172" fontId="11" fillId="41" borderId="175" xfId="0" applyNumberFormat="1" applyFont="1" applyFill="1" applyBorder="1"/>
    <xf numFmtId="172" fontId="11" fillId="41" borderId="37" xfId="0" applyNumberFormat="1" applyFont="1" applyFill="1" applyBorder="1" applyAlignment="1">
      <alignment vertical="center"/>
    </xf>
    <xf numFmtId="172" fontId="12" fillId="41" borderId="7" xfId="0" applyNumberFormat="1" applyFont="1" applyFill="1" applyBorder="1" applyAlignment="1">
      <alignment vertical="center"/>
    </xf>
    <xf numFmtId="1" fontId="2" fillId="0" borderId="18" xfId="0" applyNumberFormat="1" applyFont="1" applyBorder="1" applyAlignment="1">
      <alignment horizontal="right"/>
    </xf>
    <xf numFmtId="1" fontId="2" fillId="0" borderId="168" xfId="0" applyNumberFormat="1" applyFont="1" applyBorder="1" applyAlignment="1">
      <alignment horizontal="right"/>
    </xf>
    <xf numFmtId="1" fontId="5" fillId="21" borderId="16" xfId="0" applyNumberFormat="1" applyFont="1" applyFill="1" applyBorder="1" applyAlignment="1">
      <alignment horizontal="right"/>
    </xf>
    <xf numFmtId="1" fontId="5" fillId="21" borderId="178" xfId="0" applyNumberFormat="1" applyFont="1" applyFill="1" applyBorder="1" applyAlignment="1">
      <alignment horizontal="right"/>
    </xf>
    <xf numFmtId="1" fontId="2" fillId="0" borderId="6" xfId="0" applyNumberFormat="1" applyFont="1" applyBorder="1" applyAlignment="1">
      <alignment horizontal="right"/>
    </xf>
    <xf numFmtId="1" fontId="2" fillId="0" borderId="7" xfId="0" applyNumberFormat="1" applyFont="1" applyBorder="1" applyAlignment="1">
      <alignment horizontal="right"/>
    </xf>
    <xf numFmtId="165" fontId="14" fillId="31" borderId="13" xfId="0" applyNumberFormat="1" applyFont="1" applyFill="1" applyBorder="1" applyAlignment="1">
      <alignment horizontal="center" vertical="center"/>
    </xf>
    <xf numFmtId="173" fontId="2" fillId="22" borderId="8" xfId="0" applyNumberFormat="1" applyFont="1" applyFill="1" applyBorder="1" applyAlignment="1">
      <alignment vertical="center"/>
    </xf>
    <xf numFmtId="173" fontId="2" fillId="23" borderId="8" xfId="0" applyNumberFormat="1" applyFont="1" applyFill="1" applyBorder="1" applyAlignment="1">
      <alignment vertical="center"/>
    </xf>
    <xf numFmtId="173" fontId="2" fillId="21" borderId="8" xfId="0" applyNumberFormat="1" applyFont="1" applyFill="1" applyBorder="1" applyAlignment="1">
      <alignment vertical="center"/>
    </xf>
    <xf numFmtId="173" fontId="2" fillId="21" borderId="7" xfId="0" applyNumberFormat="1" applyFont="1" applyFill="1" applyBorder="1" applyAlignment="1">
      <alignment vertical="center"/>
    </xf>
    <xf numFmtId="173" fontId="2" fillId="22" borderId="6" xfId="0" applyNumberFormat="1" applyFont="1" applyFill="1" applyBorder="1" applyAlignment="1">
      <alignment vertical="center"/>
    </xf>
    <xf numFmtId="173" fontId="2" fillId="21" borderId="9" xfId="0" applyNumberFormat="1" applyFont="1" applyFill="1" applyBorder="1" applyAlignment="1">
      <alignment vertical="center"/>
    </xf>
    <xf numFmtId="3" fontId="112" fillId="0" borderId="0" xfId="0" applyNumberFormat="1" applyFont="1" applyAlignment="1">
      <alignment horizontal="center" vertical="center"/>
    </xf>
    <xf numFmtId="0" fontId="112" fillId="0" borderId="0" xfId="0" applyFont="1"/>
    <xf numFmtId="3" fontId="113" fillId="0" borderId="0" xfId="0" applyNumberFormat="1" applyFont="1" applyAlignment="1">
      <alignment horizontal="center" vertical="center"/>
    </xf>
    <xf numFmtId="0" fontId="114" fillId="0" borderId="0" xfId="0" applyFont="1"/>
    <xf numFmtId="3" fontId="114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5" fontId="5" fillId="21" borderId="5" xfId="0" applyNumberFormat="1" applyFont="1" applyFill="1" applyBorder="1" applyAlignment="1">
      <alignment vertical="center"/>
    </xf>
    <xf numFmtId="10" fontId="5" fillId="21" borderId="15" xfId="0" applyNumberFormat="1" applyFont="1" applyFill="1" applyBorder="1" applyAlignment="1">
      <alignment vertical="center"/>
    </xf>
    <xf numFmtId="165" fontId="5" fillId="23" borderId="8" xfId="0" applyNumberFormat="1" applyFont="1" applyFill="1" applyBorder="1" applyAlignment="1">
      <alignment vertical="center"/>
    </xf>
    <xf numFmtId="10" fontId="5" fillId="23" borderId="62" xfId="0" applyNumberFormat="1" applyFont="1" applyFill="1" applyBorder="1" applyAlignment="1">
      <alignment vertical="center"/>
    </xf>
    <xf numFmtId="165" fontId="5" fillId="22" borderId="8" xfId="0" applyNumberFormat="1" applyFont="1" applyFill="1" applyBorder="1"/>
    <xf numFmtId="10" fontId="5" fillId="22" borderId="62" xfId="0" applyNumberFormat="1" applyFont="1" applyFill="1" applyBorder="1"/>
    <xf numFmtId="3" fontId="2" fillId="0" borderId="17" xfId="0" applyNumberFormat="1" applyFont="1" applyBorder="1"/>
    <xf numFmtId="3" fontId="2" fillId="0" borderId="9" xfId="0" applyNumberFormat="1" applyFont="1" applyBorder="1"/>
    <xf numFmtId="10" fontId="2" fillId="0" borderId="197" xfId="0" applyNumberFormat="1" applyFont="1" applyBorder="1"/>
    <xf numFmtId="3" fontId="5" fillId="21" borderId="201" xfId="0" applyNumberFormat="1" applyFont="1" applyFill="1" applyBorder="1"/>
    <xf numFmtId="10" fontId="5" fillId="21" borderId="202" xfId="0" applyNumberFormat="1" applyFont="1" applyFill="1" applyBorder="1"/>
    <xf numFmtId="0" fontId="5" fillId="21" borderId="63" xfId="0" applyFont="1" applyFill="1" applyBorder="1" applyAlignment="1">
      <alignment horizontal="center"/>
    </xf>
    <xf numFmtId="165" fontId="5" fillId="21" borderId="8" xfId="0" applyNumberFormat="1" applyFont="1" applyFill="1" applyBorder="1"/>
    <xf numFmtId="10" fontId="5" fillId="21" borderId="62" xfId="0" applyNumberFormat="1" applyFont="1" applyFill="1" applyBorder="1"/>
    <xf numFmtId="0" fontId="5" fillId="23" borderId="63" xfId="0" applyFont="1" applyFill="1" applyBorder="1" applyAlignment="1">
      <alignment horizontal="center"/>
    </xf>
    <xf numFmtId="165" fontId="5" fillId="23" borderId="8" xfId="0" applyNumberFormat="1" applyFont="1" applyFill="1" applyBorder="1"/>
    <xf numFmtId="10" fontId="5" fillId="23" borderId="62" xfId="0" applyNumberFormat="1" applyFont="1" applyFill="1" applyBorder="1"/>
    <xf numFmtId="0" fontId="5" fillId="20" borderId="63" xfId="0" applyFont="1" applyFill="1" applyBorder="1" applyAlignment="1">
      <alignment horizontal="center"/>
    </xf>
    <xf numFmtId="165" fontId="5" fillId="20" borderId="8" xfId="0" applyNumberFormat="1" applyFont="1" applyFill="1" applyBorder="1"/>
    <xf numFmtId="10" fontId="5" fillId="20" borderId="62" xfId="0" applyNumberFormat="1" applyFont="1" applyFill="1" applyBorder="1"/>
    <xf numFmtId="0" fontId="5" fillId="27" borderId="73" xfId="0" applyFont="1" applyFill="1" applyBorder="1" applyAlignment="1">
      <alignment horizontal="center"/>
    </xf>
    <xf numFmtId="165" fontId="5" fillId="27" borderId="20" xfId="0" applyNumberFormat="1" applyFont="1" applyFill="1" applyBorder="1"/>
    <xf numFmtId="10" fontId="5" fillId="27" borderId="74" xfId="0" applyNumberFormat="1" applyFont="1" applyFill="1" applyBorder="1"/>
    <xf numFmtId="0" fontId="5" fillId="22" borderId="67" xfId="0" applyFont="1" applyFill="1" applyBorder="1" applyAlignment="1">
      <alignment horizontal="center"/>
    </xf>
    <xf numFmtId="165" fontId="5" fillId="22" borderId="68" xfId="0" applyNumberFormat="1" applyFont="1" applyFill="1" applyBorder="1"/>
    <xf numFmtId="10" fontId="5" fillId="22" borderId="69" xfId="0" applyNumberFormat="1" applyFont="1" applyFill="1" applyBorder="1"/>
    <xf numFmtId="0" fontId="59" fillId="21" borderId="21" xfId="5" applyFont="1" applyFill="1" applyBorder="1" applyAlignment="1">
      <alignment vertical="center"/>
    </xf>
    <xf numFmtId="3" fontId="59" fillId="21" borderId="30" xfId="5" applyNumberFormat="1" applyFont="1" applyFill="1" applyBorder="1" applyAlignment="1">
      <alignment vertical="center"/>
    </xf>
    <xf numFmtId="3" fontId="61" fillId="21" borderId="88" xfId="5" applyNumberFormat="1" applyFont="1" applyFill="1" applyBorder="1" applyAlignment="1">
      <alignment vertical="center"/>
    </xf>
    <xf numFmtId="0" fontId="11" fillId="21" borderId="4" xfId="0" applyFont="1" applyFill="1" applyBorder="1"/>
    <xf numFmtId="0" fontId="5" fillId="21" borderId="4" xfId="0" applyFont="1" applyFill="1" applyBorder="1"/>
    <xf numFmtId="6" fontId="5" fillId="21" borderId="4" xfId="0" applyNumberFormat="1" applyFont="1" applyFill="1" applyBorder="1"/>
    <xf numFmtId="172" fontId="5" fillId="21" borderId="96" xfId="3" applyNumberFormat="1" applyFont="1" applyFill="1" applyBorder="1" applyAlignment="1">
      <alignment horizontal="right" vertical="center"/>
    </xf>
    <xf numFmtId="172" fontId="5" fillId="21" borderId="102" xfId="3" applyNumberFormat="1" applyFont="1" applyFill="1" applyBorder="1" applyAlignment="1">
      <alignment horizontal="right" vertical="center"/>
    </xf>
    <xf numFmtId="0" fontId="5" fillId="21" borderId="99" xfId="3" applyFont="1" applyFill="1" applyBorder="1" applyAlignment="1">
      <alignment horizontal="center"/>
    </xf>
    <xf numFmtId="172" fontId="5" fillId="21" borderId="96" xfId="3" applyNumberFormat="1" applyFont="1" applyFill="1" applyBorder="1" applyAlignment="1">
      <alignment horizontal="right"/>
    </xf>
    <xf numFmtId="172" fontId="5" fillId="21" borderId="102" xfId="3" applyNumberFormat="1" applyFont="1" applyFill="1" applyBorder="1" applyAlignment="1">
      <alignment horizontal="right"/>
    </xf>
    <xf numFmtId="172" fontId="5" fillId="42" borderId="13" xfId="3" applyNumberFormat="1" applyFont="1" applyFill="1" applyBorder="1" applyAlignment="1">
      <alignment horizontal="right" vertical="center"/>
    </xf>
    <xf numFmtId="172" fontId="2" fillId="42" borderId="6" xfId="3" applyNumberFormat="1" applyFont="1" applyFill="1" applyBorder="1" applyAlignment="1">
      <alignment horizontal="right" vertical="center"/>
    </xf>
    <xf numFmtId="172" fontId="2" fillId="42" borderId="8" xfId="3" applyNumberFormat="1" applyFont="1" applyFill="1" applyBorder="1" applyAlignment="1">
      <alignment horizontal="right" vertical="center"/>
    </xf>
    <xf numFmtId="172" fontId="2" fillId="42" borderId="8" xfId="3" applyNumberFormat="1" applyFont="1" applyFill="1" applyBorder="1" applyAlignment="1">
      <alignment horizontal="right"/>
    </xf>
    <xf numFmtId="172" fontId="5" fillId="42" borderId="8" xfId="3" applyNumberFormat="1" applyFont="1" applyFill="1" applyBorder="1" applyAlignment="1">
      <alignment horizontal="right" vertical="center"/>
    </xf>
    <xf numFmtId="172" fontId="5" fillId="42" borderId="8" xfId="3" applyNumberFormat="1" applyFont="1" applyFill="1" applyBorder="1" applyAlignment="1">
      <alignment horizontal="right"/>
    </xf>
    <xf numFmtId="172" fontId="2" fillId="42" borderId="5" xfId="3" applyNumberFormat="1" applyFont="1" applyFill="1" applyBorder="1" applyAlignment="1">
      <alignment horizontal="right"/>
    </xf>
    <xf numFmtId="172" fontId="5" fillId="42" borderId="68" xfId="3" applyNumberFormat="1" applyFont="1" applyFill="1" applyBorder="1" applyAlignment="1">
      <alignment horizontal="right"/>
    </xf>
    <xf numFmtId="172" fontId="2" fillId="42" borderId="6" xfId="3" applyNumberFormat="1" applyFont="1" applyFill="1" applyBorder="1" applyAlignment="1">
      <alignment horizontal="right"/>
    </xf>
    <xf numFmtId="172" fontId="5" fillId="42" borderId="20" xfId="3" applyNumberFormat="1" applyFont="1" applyFill="1" applyBorder="1" applyAlignment="1">
      <alignment horizontal="right"/>
    </xf>
    <xf numFmtId="172" fontId="51" fillId="42" borderId="0" xfId="3" applyNumberFormat="1" applyFont="1" applyFill="1" applyAlignment="1">
      <alignment horizontal="right"/>
    </xf>
    <xf numFmtId="172" fontId="5" fillId="23" borderId="13" xfId="3" applyNumberFormat="1" applyFont="1" applyFill="1" applyBorder="1" applyAlignment="1">
      <alignment horizontal="right" vertical="center"/>
    </xf>
    <xf numFmtId="172" fontId="2" fillId="23" borderId="6" xfId="3" applyNumberFormat="1" applyFont="1" applyFill="1" applyBorder="1" applyAlignment="1">
      <alignment horizontal="right" vertical="center"/>
    </xf>
    <xf numFmtId="172" fontId="2" fillId="23" borderId="8" xfId="3" applyNumberFormat="1" applyFont="1" applyFill="1" applyBorder="1" applyAlignment="1">
      <alignment horizontal="right" vertical="center"/>
    </xf>
    <xf numFmtId="172" fontId="2" fillId="23" borderId="8" xfId="3" applyNumberFormat="1" applyFont="1" applyFill="1" applyBorder="1" applyAlignment="1">
      <alignment horizontal="right"/>
    </xf>
    <xf numFmtId="172" fontId="5" fillId="23" borderId="8" xfId="3" applyNumberFormat="1" applyFont="1" applyFill="1" applyBorder="1" applyAlignment="1">
      <alignment horizontal="right" vertical="center"/>
    </xf>
    <xf numFmtId="172" fontId="5" fillId="23" borderId="8" xfId="3" applyNumberFormat="1" applyFont="1" applyFill="1" applyBorder="1" applyAlignment="1">
      <alignment horizontal="right"/>
    </xf>
    <xf numFmtId="172" fontId="2" fillId="23" borderId="5" xfId="3" applyNumberFormat="1" applyFont="1" applyFill="1" applyBorder="1" applyAlignment="1">
      <alignment horizontal="right"/>
    </xf>
    <xf numFmtId="172" fontId="5" fillId="23" borderId="68" xfId="3" applyNumberFormat="1" applyFont="1" applyFill="1" applyBorder="1" applyAlignment="1">
      <alignment horizontal="right"/>
    </xf>
    <xf numFmtId="172" fontId="2" fillId="23" borderId="6" xfId="3" applyNumberFormat="1" applyFont="1" applyFill="1" applyBorder="1" applyAlignment="1">
      <alignment horizontal="right"/>
    </xf>
    <xf numFmtId="172" fontId="5" fillId="23" borderId="20" xfId="3" applyNumberFormat="1" applyFont="1" applyFill="1" applyBorder="1" applyAlignment="1">
      <alignment horizontal="right"/>
    </xf>
    <xf numFmtId="172" fontId="51" fillId="23" borderId="0" xfId="3" applyNumberFormat="1" applyFont="1" applyFill="1" applyAlignment="1">
      <alignment horizontal="right"/>
    </xf>
    <xf numFmtId="172" fontId="5" fillId="22" borderId="13" xfId="3" applyNumberFormat="1" applyFont="1" applyFill="1" applyBorder="1" applyAlignment="1">
      <alignment horizontal="right" vertical="center"/>
    </xf>
    <xf numFmtId="172" fontId="2" fillId="22" borderId="6" xfId="3" applyNumberFormat="1" applyFont="1" applyFill="1" applyBorder="1" applyAlignment="1">
      <alignment horizontal="right" vertical="center"/>
    </xf>
    <xf numFmtId="172" fontId="2" fillId="22" borderId="8" xfId="3" applyNumberFormat="1" applyFont="1" applyFill="1" applyBorder="1" applyAlignment="1">
      <alignment horizontal="right" vertical="center"/>
    </xf>
    <xf numFmtId="172" fontId="2" fillId="22" borderId="8" xfId="3" applyNumberFormat="1" applyFont="1" applyFill="1" applyBorder="1" applyAlignment="1">
      <alignment horizontal="right"/>
    </xf>
    <xf numFmtId="172" fontId="5" fillId="22" borderId="8" xfId="3" applyNumberFormat="1" applyFont="1" applyFill="1" applyBorder="1" applyAlignment="1">
      <alignment horizontal="right" vertical="center"/>
    </xf>
    <xf numFmtId="172" fontId="5" fillId="22" borderId="8" xfId="3" applyNumberFormat="1" applyFont="1" applyFill="1" applyBorder="1" applyAlignment="1">
      <alignment horizontal="right"/>
    </xf>
    <xf numFmtId="172" fontId="2" fillId="22" borderId="5" xfId="3" applyNumberFormat="1" applyFont="1" applyFill="1" applyBorder="1" applyAlignment="1">
      <alignment horizontal="right"/>
    </xf>
    <xf numFmtId="172" fontId="5" fillId="22" borderId="68" xfId="3" applyNumberFormat="1" applyFont="1" applyFill="1" applyBorder="1" applyAlignment="1">
      <alignment horizontal="right"/>
    </xf>
    <xf numFmtId="172" fontId="2" fillId="22" borderId="6" xfId="3" applyNumberFormat="1" applyFont="1" applyFill="1" applyBorder="1" applyAlignment="1">
      <alignment horizontal="right"/>
    </xf>
    <xf numFmtId="172" fontId="5" fillId="22" borderId="20" xfId="3" applyNumberFormat="1" applyFont="1" applyFill="1" applyBorder="1" applyAlignment="1">
      <alignment horizontal="right"/>
    </xf>
    <xf numFmtId="172" fontId="51" fillId="22" borderId="0" xfId="3" applyNumberFormat="1" applyFont="1" applyFill="1" applyAlignment="1">
      <alignment horizontal="right"/>
    </xf>
    <xf numFmtId="0" fontId="10" fillId="21" borderId="4" xfId="2" applyFont="1" applyFill="1" applyBorder="1"/>
    <xf numFmtId="0" fontId="10" fillId="21" borderId="4" xfId="2" applyFont="1" applyFill="1" applyBorder="1" applyAlignment="1">
      <alignment horizontal="center"/>
    </xf>
    <xf numFmtId="172" fontId="10" fillId="21" borderId="4" xfId="2" applyNumberFormat="1" applyFont="1" applyFill="1" applyBorder="1"/>
    <xf numFmtId="10" fontId="5" fillId="21" borderId="4" xfId="2" applyNumberFormat="1" applyFont="1" applyFill="1" applyBorder="1"/>
    <xf numFmtId="184" fontId="26" fillId="0" borderId="0" xfId="0" applyNumberFormat="1" applyFont="1"/>
    <xf numFmtId="0" fontId="2" fillId="21" borderId="109" xfId="3" applyFont="1" applyFill="1" applyBorder="1" applyAlignment="1">
      <alignment horizontal="left" vertical="center" wrapText="1"/>
    </xf>
    <xf numFmtId="0" fontId="34" fillId="0" borderId="64" xfId="0" applyFont="1" applyBorder="1"/>
    <xf numFmtId="0" fontId="0" fillId="0" borderId="64" xfId="0" applyBorder="1"/>
    <xf numFmtId="0" fontId="37" fillId="0" borderId="64" xfId="0" applyFont="1" applyBorder="1"/>
    <xf numFmtId="3" fontId="25" fillId="0" borderId="88" xfId="0" applyNumberFormat="1" applyFont="1" applyBorder="1" applyAlignment="1">
      <alignment horizontal="center"/>
    </xf>
    <xf numFmtId="3" fontId="21" fillId="0" borderId="203" xfId="0" applyNumberFormat="1" applyFont="1" applyBorder="1"/>
    <xf numFmtId="3" fontId="21" fillId="0" borderId="203" xfId="6" applyNumberFormat="1" applyFont="1" applyBorder="1" applyAlignment="1">
      <alignment horizontal="right"/>
    </xf>
    <xf numFmtId="3" fontId="25" fillId="0" borderId="203" xfId="0" applyNumberFormat="1" applyFont="1" applyBorder="1"/>
    <xf numFmtId="49" fontId="21" fillId="0" borderId="0" xfId="0" applyNumberFormat="1" applyFont="1" applyAlignment="1">
      <alignment horizontal="left" vertical="center" wrapText="1" indent="1"/>
    </xf>
    <xf numFmtId="0" fontId="21" fillId="23" borderId="0" xfId="0" applyFont="1" applyFill="1"/>
    <xf numFmtId="0" fontId="21" fillId="22" borderId="0" xfId="0" applyFont="1" applyFill="1"/>
    <xf numFmtId="0" fontId="21" fillId="21" borderId="0" xfId="0" applyFont="1" applyFill="1"/>
    <xf numFmtId="0" fontId="25" fillId="0" borderId="1" xfId="0" applyFont="1" applyBorder="1" applyAlignment="1">
      <alignment horizontal="center" vertical="center"/>
    </xf>
    <xf numFmtId="0" fontId="25" fillId="23" borderId="1" xfId="0" applyFont="1" applyFill="1" applyBorder="1" applyAlignment="1">
      <alignment horizontal="center" vertical="center" wrapText="1"/>
    </xf>
    <xf numFmtId="3" fontId="25" fillId="22" borderId="1" xfId="0" applyNumberFormat="1" applyFont="1" applyFill="1" applyBorder="1" applyAlignment="1">
      <alignment horizontal="center" vertical="center" wrapText="1"/>
    </xf>
    <xf numFmtId="0" fontId="25" fillId="21" borderId="1" xfId="0" applyFont="1" applyFill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115" fillId="0" borderId="0" xfId="0" applyFont="1"/>
    <xf numFmtId="3" fontId="21" fillId="23" borderId="0" xfId="0" applyNumberFormat="1" applyFont="1" applyFill="1" applyAlignment="1">
      <alignment horizontal="center" vertical="center" wrapText="1"/>
    </xf>
    <xf numFmtId="0" fontId="21" fillId="22" borderId="0" xfId="0" applyFont="1" applyFill="1" applyAlignment="1">
      <alignment horizontal="center" vertical="center" wrapText="1"/>
    </xf>
    <xf numFmtId="0" fontId="116" fillId="0" borderId="0" xfId="0" applyFont="1"/>
    <xf numFmtId="0" fontId="21" fillId="23" borderId="0" xfId="0" applyNumberFormat="1" applyFont="1" applyFill="1"/>
    <xf numFmtId="0" fontId="21" fillId="22" borderId="0" xfId="0" applyNumberFormat="1" applyFont="1" applyFill="1"/>
    <xf numFmtId="0" fontId="21" fillId="21" borderId="0" xfId="0" applyNumberFormat="1" applyFont="1" applyFill="1"/>
    <xf numFmtId="10" fontId="21" fillId="0" borderId="0" xfId="1" applyNumberFormat="1" applyFont="1" applyBorder="1" applyProtection="1"/>
    <xf numFmtId="0" fontId="21" fillId="0" borderId="0" xfId="0" applyFont="1" applyAlignment="1">
      <alignment horizontal="left" indent="1"/>
    </xf>
    <xf numFmtId="10" fontId="21" fillId="0" borderId="0" xfId="1" applyNumberFormat="1" applyFont="1" applyBorder="1" applyAlignment="1" applyProtection="1"/>
    <xf numFmtId="172" fontId="21" fillId="23" borderId="0" xfId="0" applyNumberFormat="1" applyFont="1" applyFill="1"/>
    <xf numFmtId="172" fontId="21" fillId="22" borderId="0" xfId="0" applyNumberFormat="1" applyFont="1" applyFill="1"/>
    <xf numFmtId="172" fontId="21" fillId="21" borderId="0" xfId="0" applyNumberFormat="1" applyFont="1" applyFill="1"/>
    <xf numFmtId="0" fontId="117" fillId="0" borderId="0" xfId="0" applyFont="1" applyAlignment="1">
      <alignment horizontal="right"/>
    </xf>
    <xf numFmtId="0" fontId="107" fillId="0" borderId="0" xfId="0" applyFont="1" applyAlignment="1">
      <alignment horizontal="left" indent="3"/>
    </xf>
    <xf numFmtId="172" fontId="21" fillId="23" borderId="1" xfId="0" applyNumberFormat="1" applyFont="1" applyFill="1" applyBorder="1"/>
    <xf numFmtId="172" fontId="21" fillId="22" borderId="1" xfId="0" applyNumberFormat="1" applyFont="1" applyFill="1" applyBorder="1"/>
    <xf numFmtId="172" fontId="21" fillId="21" borderId="1" xfId="0" applyNumberFormat="1" applyFont="1" applyFill="1" applyBorder="1"/>
    <xf numFmtId="0" fontId="117" fillId="0" borderId="4" xfId="0" applyFont="1" applyBorder="1" applyAlignment="1">
      <alignment horizontal="right" vertical="center"/>
    </xf>
    <xf numFmtId="10" fontId="21" fillId="0" borderId="4" xfId="1" applyNumberFormat="1" applyFont="1" applyBorder="1" applyAlignment="1" applyProtection="1"/>
    <xf numFmtId="165" fontId="21" fillId="23" borderId="0" xfId="0" applyNumberFormat="1" applyFont="1" applyFill="1"/>
    <xf numFmtId="165" fontId="21" fillId="22" borderId="0" xfId="0" applyNumberFormat="1" applyFont="1" applyFill="1"/>
    <xf numFmtId="165" fontId="21" fillId="21" borderId="0" xfId="0" applyNumberFormat="1" applyFont="1" applyFill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3" fontId="21" fillId="23" borderId="0" xfId="0" applyNumberFormat="1" applyFont="1" applyFill="1"/>
    <xf numFmtId="3" fontId="21" fillId="22" borderId="0" xfId="0" applyNumberFormat="1" applyFont="1" applyFill="1"/>
    <xf numFmtId="3" fontId="21" fillId="21" borderId="0" xfId="0" applyNumberFormat="1" applyFont="1" applyFill="1"/>
    <xf numFmtId="0" fontId="116" fillId="0" borderId="0" xfId="0" applyFont="1" applyAlignment="1">
      <alignment wrapText="1"/>
    </xf>
    <xf numFmtId="1" fontId="21" fillId="23" borderId="0" xfId="0" applyNumberFormat="1" applyFont="1" applyFill="1"/>
    <xf numFmtId="173" fontId="21" fillId="22" borderId="0" xfId="0" applyNumberFormat="1" applyFont="1" applyFill="1"/>
    <xf numFmtId="173" fontId="21" fillId="21" borderId="0" xfId="0" applyNumberFormat="1" applyFont="1" applyFill="1" applyAlignment="1">
      <alignment horizontal="right"/>
    </xf>
    <xf numFmtId="3" fontId="21" fillId="0" borderId="0" xfId="0" applyNumberFormat="1" applyFont="1" applyAlignment="1">
      <alignment horizontal="left" indent="1"/>
    </xf>
    <xf numFmtId="0" fontId="118" fillId="0" borderId="0" xfId="0" applyFont="1" applyAlignment="1">
      <alignment horizontal="right"/>
    </xf>
    <xf numFmtId="0" fontId="118" fillId="0" borderId="0" xfId="0" applyFont="1" applyAlignment="1">
      <alignment horizontal="right" indent="2"/>
    </xf>
    <xf numFmtId="0" fontId="118" fillId="0" borderId="4" xfId="0" applyFont="1" applyBorder="1" applyAlignment="1">
      <alignment horizontal="right" wrapText="1"/>
    </xf>
    <xf numFmtId="165" fontId="21" fillId="23" borderId="4" xfId="0" applyNumberFormat="1" applyFont="1" applyFill="1" applyBorder="1"/>
    <xf numFmtId="165" fontId="21" fillId="22" borderId="4" xfId="0" applyNumberFormat="1" applyFont="1" applyFill="1" applyBorder="1"/>
    <xf numFmtId="165" fontId="21" fillId="21" borderId="4" xfId="0" applyNumberFormat="1" applyFont="1" applyFill="1" applyBorder="1"/>
    <xf numFmtId="165" fontId="21" fillId="23" borderId="0" xfId="0" applyNumberFormat="1" applyFont="1" applyFill="1" applyBorder="1"/>
    <xf numFmtId="165" fontId="21" fillId="22" borderId="0" xfId="0" applyNumberFormat="1" applyFont="1" applyFill="1" applyBorder="1"/>
    <xf numFmtId="165" fontId="21" fillId="21" borderId="0" xfId="0" applyNumberFormat="1" applyFont="1" applyFill="1" applyBorder="1"/>
    <xf numFmtId="0" fontId="21" fillId="0" borderId="0" xfId="0" applyFont="1" applyBorder="1" applyAlignment="1">
      <alignment horizontal="left" indent="2"/>
    </xf>
    <xf numFmtId="0" fontId="116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 indent="1"/>
    </xf>
    <xf numFmtId="0" fontId="118" fillId="0" borderId="0" xfId="0" applyFont="1" applyBorder="1" applyAlignment="1">
      <alignment horizontal="right" vertical="center"/>
    </xf>
    <xf numFmtId="0" fontId="21" fillId="0" borderId="0" xfId="0" applyFont="1" applyBorder="1" applyAlignment="1">
      <alignment horizontal="left" vertical="center" indent="2"/>
    </xf>
    <xf numFmtId="0" fontId="25" fillId="0" borderId="58" xfId="0" applyFont="1" applyBorder="1" applyAlignment="1">
      <alignment horizontal="right" vertical="center" wrapText="1"/>
    </xf>
    <xf numFmtId="165" fontId="25" fillId="23" borderId="4" xfId="0" applyNumberFormat="1" applyFont="1" applyFill="1" applyBorder="1"/>
    <xf numFmtId="165" fontId="25" fillId="22" borderId="4" xfId="0" applyNumberFormat="1" applyFont="1" applyFill="1" applyBorder="1"/>
    <xf numFmtId="165" fontId="25" fillId="21" borderId="4" xfId="0" applyNumberFormat="1" applyFont="1" applyFill="1" applyBorder="1"/>
    <xf numFmtId="10" fontId="21" fillId="0" borderId="0" xfId="0" applyNumberFormat="1" applyFont="1" applyBorder="1"/>
    <xf numFmtId="0" fontId="21" fillId="0" borderId="0" xfId="0" applyFont="1" applyBorder="1"/>
    <xf numFmtId="0" fontId="119" fillId="0" borderId="0" xfId="0" applyFont="1" applyAlignment="1">
      <alignment horizontal="right"/>
    </xf>
    <xf numFmtId="165" fontId="25" fillId="22" borderId="0" xfId="0" applyNumberFormat="1" applyFont="1" applyFill="1"/>
    <xf numFmtId="165" fontId="25" fillId="21" borderId="0" xfId="0" applyNumberFormat="1" applyFont="1" applyFill="1"/>
    <xf numFmtId="0" fontId="25" fillId="0" borderId="0" xfId="0" applyFont="1" applyBorder="1"/>
    <xf numFmtId="10" fontId="116" fillId="0" borderId="4" xfId="1" applyNumberFormat="1" applyFont="1" applyBorder="1" applyAlignment="1" applyProtection="1"/>
    <xf numFmtId="165" fontId="25" fillId="0" borderId="0" xfId="0" applyNumberFormat="1" applyFont="1" applyBorder="1"/>
    <xf numFmtId="0" fontId="120" fillId="0" borderId="58" xfId="0" applyFont="1" applyBorder="1" applyAlignment="1">
      <alignment horizontal="right" vertical="center"/>
    </xf>
    <xf numFmtId="165" fontId="25" fillId="23" borderId="58" xfId="0" applyNumberFormat="1" applyFont="1" applyFill="1" applyBorder="1"/>
    <xf numFmtId="165" fontId="25" fillId="22" borderId="58" xfId="0" applyNumberFormat="1" applyFont="1" applyFill="1" applyBorder="1"/>
    <xf numFmtId="165" fontId="25" fillId="21" borderId="58" xfId="0" applyNumberFormat="1" applyFont="1" applyFill="1" applyBorder="1"/>
    <xf numFmtId="10" fontId="116" fillId="0" borderId="58" xfId="1" applyNumberFormat="1" applyFont="1" applyBorder="1" applyAlignment="1" applyProtection="1"/>
    <xf numFmtId="0" fontId="120" fillId="0" borderId="0" xfId="0" applyFont="1" applyBorder="1" applyAlignment="1">
      <alignment horizontal="right" vertical="center"/>
    </xf>
    <xf numFmtId="10" fontId="116" fillId="0" borderId="0" xfId="1" applyNumberFormat="1" applyFont="1" applyBorder="1" applyAlignment="1" applyProtection="1"/>
    <xf numFmtId="0" fontId="115" fillId="0" borderId="0" xfId="0" applyFont="1" applyFill="1" applyBorder="1" applyAlignment="1">
      <alignment vertical="center" wrapText="1"/>
    </xf>
    <xf numFmtId="0" fontId="115" fillId="0" borderId="0" xfId="0" applyFont="1" applyAlignment="1">
      <alignment horizontal="right"/>
    </xf>
    <xf numFmtId="10" fontId="116" fillId="0" borderId="2" xfId="1" applyNumberFormat="1" applyFont="1" applyBorder="1" applyAlignment="1" applyProtection="1"/>
    <xf numFmtId="165" fontId="25" fillId="23" borderId="0" xfId="0" applyNumberFormat="1" applyFont="1" applyFill="1" applyBorder="1"/>
    <xf numFmtId="165" fontId="25" fillId="22" borderId="0" xfId="0" applyNumberFormat="1" applyFont="1" applyFill="1" applyBorder="1"/>
    <xf numFmtId="165" fontId="25" fillId="21" borderId="0" xfId="0" applyNumberFormat="1" applyFont="1" applyFill="1" applyBorder="1"/>
    <xf numFmtId="10" fontId="25" fillId="0" borderId="0" xfId="1" applyNumberFormat="1" applyFont="1" applyBorder="1" applyAlignment="1" applyProtection="1"/>
    <xf numFmtId="0" fontId="25" fillId="23" borderId="4" xfId="0" applyFont="1" applyFill="1" applyBorder="1"/>
    <xf numFmtId="0" fontId="21" fillId="22" borderId="4" xfId="0" applyFont="1" applyFill="1" applyBorder="1"/>
    <xf numFmtId="0" fontId="21" fillId="21" borderId="4" xfId="0" applyFont="1" applyFill="1" applyBorder="1"/>
    <xf numFmtId="0" fontId="21" fillId="0" borderId="4" xfId="0" applyFont="1" applyBorder="1"/>
    <xf numFmtId="0" fontId="120" fillId="16" borderId="58" xfId="0" applyFont="1" applyFill="1" applyBorder="1" applyAlignment="1">
      <alignment horizontal="right" vertical="center"/>
    </xf>
    <xf numFmtId="172" fontId="25" fillId="23" borderId="58" xfId="0" applyNumberFormat="1" applyFont="1" applyFill="1" applyBorder="1"/>
    <xf numFmtId="10" fontId="21" fillId="0" borderId="58" xfId="0" applyNumberFormat="1" applyFont="1" applyBorder="1"/>
    <xf numFmtId="0" fontId="25" fillId="0" borderId="0" xfId="0" applyFont="1" applyAlignment="1">
      <alignment horizontal="right"/>
    </xf>
    <xf numFmtId="3" fontId="25" fillId="23" borderId="0" xfId="0" applyNumberFormat="1" applyFont="1" applyFill="1" applyBorder="1"/>
    <xf numFmtId="3" fontId="25" fillId="22" borderId="0" xfId="0" applyNumberFormat="1" applyFont="1" applyFill="1" applyBorder="1"/>
    <xf numFmtId="0" fontId="25" fillId="0" borderId="0" xfId="0" applyFont="1"/>
    <xf numFmtId="165" fontId="25" fillId="23" borderId="0" xfId="0" applyNumberFormat="1" applyFont="1" applyFill="1"/>
    <xf numFmtId="0" fontId="121" fillId="0" borderId="0" xfId="0" applyFont="1"/>
    <xf numFmtId="0" fontId="25" fillId="23" borderId="0" xfId="0" applyFont="1" applyFill="1" applyBorder="1"/>
    <xf numFmtId="0" fontId="25" fillId="23" borderId="0" xfId="0" applyFont="1" applyFill="1" applyAlignment="1">
      <alignment horizontal="right"/>
    </xf>
    <xf numFmtId="0" fontId="25" fillId="0" borderId="0" xfId="0" applyFont="1" applyBorder="1" applyAlignment="1">
      <alignment horizontal="right"/>
    </xf>
    <xf numFmtId="1" fontId="21" fillId="22" borderId="0" xfId="0" applyNumberFormat="1" applyFont="1" applyFill="1"/>
    <xf numFmtId="0" fontId="115" fillId="0" borderId="0" xfId="0" applyFont="1" applyBorder="1" applyAlignment="1">
      <alignment horizontal="right"/>
    </xf>
    <xf numFmtId="49" fontId="21" fillId="0" borderId="0" xfId="0" applyNumberFormat="1" applyFont="1"/>
    <xf numFmtId="0" fontId="25" fillId="23" borderId="0" xfId="0" applyFont="1" applyFill="1" applyBorder="1" applyAlignment="1">
      <alignment horizontal="center" vertical="center" wrapText="1"/>
    </xf>
    <xf numFmtId="3" fontId="25" fillId="22" borderId="0" xfId="0" applyNumberFormat="1" applyFont="1" applyFill="1" applyAlignment="1">
      <alignment horizontal="center"/>
    </xf>
    <xf numFmtId="0" fontId="25" fillId="21" borderId="0" xfId="0" applyFont="1" applyFill="1" applyAlignment="1">
      <alignment horizontal="center"/>
    </xf>
    <xf numFmtId="0" fontId="25" fillId="0" borderId="0" xfId="0" applyFont="1" applyBorder="1" applyAlignment="1">
      <alignment horizontal="center" vertical="center"/>
    </xf>
    <xf numFmtId="49" fontId="120" fillId="16" borderId="58" xfId="0" applyNumberFormat="1" applyFont="1" applyFill="1" applyBorder="1" applyAlignment="1">
      <alignment horizontal="right" vertical="center"/>
    </xf>
    <xf numFmtId="0" fontId="115" fillId="0" borderId="0" xfId="0" applyFont="1" applyAlignment="1"/>
    <xf numFmtId="0" fontId="116" fillId="0" borderId="0" xfId="0" applyFont="1" applyAlignment="1"/>
    <xf numFmtId="0" fontId="21" fillId="23" borderId="0" xfId="0" applyFont="1" applyFill="1" applyAlignment="1"/>
    <xf numFmtId="3" fontId="21" fillId="22" borderId="0" xfId="0" applyNumberFormat="1" applyFont="1" applyFill="1" applyAlignment="1"/>
    <xf numFmtId="0" fontId="21" fillId="21" borderId="0" xfId="0" applyFont="1" applyFill="1" applyAlignment="1"/>
    <xf numFmtId="173" fontId="21" fillId="23" borderId="0" xfId="0" applyNumberFormat="1" applyFont="1" applyFill="1" applyBorder="1"/>
    <xf numFmtId="173" fontId="21" fillId="22" borderId="0" xfId="0" applyNumberFormat="1" applyFont="1" applyFill="1" applyBorder="1"/>
    <xf numFmtId="173" fontId="21" fillId="21" borderId="0" xfId="0" applyNumberFormat="1" applyFont="1" applyFill="1" applyBorder="1"/>
    <xf numFmtId="173" fontId="21" fillId="23" borderId="0" xfId="0" applyNumberFormat="1" applyFont="1" applyFill="1"/>
    <xf numFmtId="173" fontId="21" fillId="21" borderId="0" xfId="0" applyNumberFormat="1" applyFont="1" applyFill="1"/>
    <xf numFmtId="0" fontId="25" fillId="21" borderId="19" xfId="0" applyFont="1" applyFill="1" applyBorder="1" applyAlignment="1">
      <alignment horizontal="right"/>
    </xf>
    <xf numFmtId="3" fontId="25" fillId="21" borderId="203" xfId="0" applyNumberFormat="1" applyFont="1" applyFill="1" applyBorder="1"/>
    <xf numFmtId="165" fontId="21" fillId="0" borderId="203" xfId="0" applyNumberFormat="1" applyFont="1" applyBorder="1"/>
    <xf numFmtId="172" fontId="21" fillId="0" borderId="203" xfId="0" applyNumberFormat="1" applyFont="1" applyBorder="1"/>
    <xf numFmtId="172" fontId="25" fillId="0" borderId="203" xfId="0" applyNumberFormat="1" applyFont="1" applyBorder="1"/>
    <xf numFmtId="172" fontId="25" fillId="0" borderId="108" xfId="0" applyNumberFormat="1" applyFont="1" applyBorder="1"/>
    <xf numFmtId="173" fontId="21" fillId="0" borderId="203" xfId="0" applyNumberFormat="1" applyFont="1" applyBorder="1"/>
    <xf numFmtId="0" fontId="51" fillId="43" borderId="19" xfId="0" applyFont="1" applyFill="1" applyBorder="1" applyAlignment="1">
      <alignment horizontal="left" wrapText="1"/>
    </xf>
    <xf numFmtId="166" fontId="51" fillId="43" borderId="62" xfId="0" applyNumberFormat="1" applyFont="1" applyFill="1" applyBorder="1"/>
    <xf numFmtId="166" fontId="51" fillId="43" borderId="8" xfId="0" applyNumberFormat="1" applyFont="1" applyFill="1" applyBorder="1"/>
    <xf numFmtId="0" fontId="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left"/>
    </xf>
    <xf numFmtId="49" fontId="2" fillId="0" borderId="130" xfId="0" applyNumberFormat="1" applyFont="1" applyFill="1" applyBorder="1" applyAlignment="1">
      <alignment horizontal="left" vertical="center" wrapText="1"/>
    </xf>
    <xf numFmtId="0" fontId="2" fillId="0" borderId="130" xfId="0" applyFont="1" applyFill="1" applyBorder="1"/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22" fillId="0" borderId="0" xfId="0" applyFont="1"/>
    <xf numFmtId="167" fontId="27" fillId="5" borderId="192" xfId="1" applyNumberFormat="1" applyFont="1" applyFill="1" applyBorder="1" applyAlignment="1" applyProtection="1"/>
    <xf numFmtId="0" fontId="27" fillId="13" borderId="10" xfId="0" applyFont="1" applyFill="1" applyBorder="1" applyAlignment="1">
      <alignment horizontal="right" wrapText="1"/>
    </xf>
    <xf numFmtId="165" fontId="27" fillId="0" borderId="0" xfId="0" applyNumberFormat="1" applyFont="1" applyFill="1" applyBorder="1"/>
    <xf numFmtId="0" fontId="27" fillId="0" borderId="0" xfId="0" applyFont="1" applyFill="1" applyBorder="1"/>
    <xf numFmtId="0" fontId="27" fillId="0" borderId="0" xfId="0" applyFont="1" applyFill="1" applyBorder="1" applyAlignment="1">
      <alignment horizontal="right" wrapText="1"/>
    </xf>
    <xf numFmtId="167" fontId="27" fillId="0" borderId="0" xfId="1" applyNumberFormat="1" applyFont="1" applyFill="1" applyBorder="1" applyAlignment="1" applyProtection="1"/>
    <xf numFmtId="0" fontId="0" fillId="0" borderId="0" xfId="0" applyFill="1" applyBorder="1"/>
    <xf numFmtId="0" fontId="27" fillId="0" borderId="1" xfId="0" applyFont="1" applyFill="1" applyBorder="1"/>
    <xf numFmtId="0" fontId="27" fillId="0" borderId="1" xfId="0" applyFont="1" applyFill="1" applyBorder="1" applyAlignment="1">
      <alignment horizontal="right" wrapText="1"/>
    </xf>
    <xf numFmtId="0" fontId="27" fillId="13" borderId="10" xfId="0" applyFont="1" applyFill="1" applyBorder="1" applyAlignment="1">
      <alignment horizontal="left" wrapText="1"/>
    </xf>
    <xf numFmtId="165" fontId="0" fillId="2" borderId="204" xfId="0" applyNumberFormat="1" applyFont="1" applyFill="1" applyBorder="1" applyAlignment="1">
      <alignment vertical="center"/>
    </xf>
    <xf numFmtId="165" fontId="27" fillId="13" borderId="204" xfId="0" applyNumberFormat="1" applyFont="1" applyFill="1" applyBorder="1"/>
    <xf numFmtId="165" fontId="0" fillId="0" borderId="0" xfId="0" applyNumberFormat="1" applyFont="1"/>
    <xf numFmtId="0" fontId="0" fillId="15" borderId="34" xfId="0" applyFont="1" applyFill="1" applyBorder="1" applyAlignment="1">
      <alignment vertical="center"/>
    </xf>
    <xf numFmtId="165" fontId="0" fillId="15" borderId="19" xfId="0" applyNumberFormat="1" applyFont="1" applyFill="1" applyBorder="1" applyAlignment="1">
      <alignment vertical="center"/>
    </xf>
    <xf numFmtId="0" fontId="27" fillId="15" borderId="35" xfId="0" applyFont="1" applyFill="1" applyBorder="1" applyAlignment="1">
      <alignment vertical="center"/>
    </xf>
    <xf numFmtId="166" fontId="0" fillId="0" borderId="0" xfId="0" applyNumberFormat="1" applyFont="1"/>
    <xf numFmtId="0" fontId="51" fillId="9" borderId="53" xfId="0" applyFont="1" applyFill="1" applyBorder="1" applyAlignment="1">
      <alignment vertical="center"/>
    </xf>
    <xf numFmtId="0" fontId="51" fillId="9" borderId="10" xfId="0" applyFont="1" applyFill="1" applyBorder="1" applyAlignment="1">
      <alignment vertical="center" wrapText="1"/>
    </xf>
    <xf numFmtId="166" fontId="51" fillId="9" borderId="62" xfId="0" applyNumberFormat="1" applyFont="1" applyFill="1" applyBorder="1" applyAlignment="1">
      <alignment vertical="center"/>
    </xf>
    <xf numFmtId="166" fontId="51" fillId="9" borderId="64" xfId="0" applyNumberFormat="1" applyFont="1" applyFill="1" applyBorder="1" applyAlignment="1">
      <alignment vertical="center"/>
    </xf>
    <xf numFmtId="166" fontId="51" fillId="9" borderId="8" xfId="0" applyNumberFormat="1" applyFont="1" applyFill="1" applyBorder="1" applyAlignment="1">
      <alignment vertical="center"/>
    </xf>
    <xf numFmtId="166" fontId="51" fillId="9" borderId="19" xfId="0" applyNumberFormat="1" applyFont="1" applyFill="1" applyBorder="1" applyAlignment="1">
      <alignment vertical="center"/>
    </xf>
    <xf numFmtId="0" fontId="51" fillId="8" borderId="53" xfId="0" applyFont="1" applyFill="1" applyBorder="1"/>
    <xf numFmtId="0" fontId="67" fillId="8" borderId="10" xfId="0" applyFont="1" applyFill="1" applyBorder="1" applyAlignment="1">
      <alignment horizontal="right" wrapText="1"/>
    </xf>
    <xf numFmtId="166" fontId="67" fillId="8" borderId="62" xfId="0" applyNumberFormat="1" applyFont="1" applyFill="1" applyBorder="1"/>
    <xf numFmtId="166" fontId="67" fillId="8" borderId="63" xfId="0" applyNumberFormat="1" applyFont="1" applyFill="1" applyBorder="1"/>
    <xf numFmtId="166" fontId="67" fillId="8" borderId="8" xfId="0" applyNumberFormat="1" applyFont="1" applyFill="1" applyBorder="1"/>
    <xf numFmtId="0" fontId="51" fillId="8" borderId="191" xfId="0" applyFont="1" applyFill="1" applyBorder="1"/>
    <xf numFmtId="0" fontId="67" fillId="8" borderId="19" xfId="0" applyFont="1" applyFill="1" applyBorder="1" applyAlignment="1">
      <alignment horizontal="left" wrapText="1"/>
    </xf>
    <xf numFmtId="166" fontId="67" fillId="8" borderId="64" xfId="0" applyNumberFormat="1" applyFont="1" applyFill="1" applyBorder="1"/>
    <xf numFmtId="166" fontId="67" fillId="8" borderId="19" xfId="0" applyNumberFormat="1" applyFont="1" applyFill="1" applyBorder="1"/>
    <xf numFmtId="0" fontId="51" fillId="43" borderId="191" xfId="0" applyFont="1" applyFill="1" applyBorder="1"/>
    <xf numFmtId="166" fontId="67" fillId="43" borderId="64" xfId="0" applyNumberFormat="1" applyFont="1" applyFill="1" applyBorder="1"/>
    <xf numFmtId="166" fontId="67" fillId="43" borderId="8" xfId="0" applyNumberFormat="1" applyFont="1" applyFill="1" applyBorder="1"/>
    <xf numFmtId="166" fontId="67" fillId="43" borderId="19" xfId="0" applyNumberFormat="1" applyFont="1" applyFill="1" applyBorder="1"/>
    <xf numFmtId="165" fontId="27" fillId="12" borderId="8" xfId="0" applyNumberFormat="1" applyFont="1" applyFill="1" applyBorder="1"/>
    <xf numFmtId="165" fontId="0" fillId="15" borderId="62" xfId="0" applyNumberFormat="1" applyFont="1" applyFill="1" applyBorder="1" applyAlignment="1">
      <alignment vertical="center"/>
    </xf>
    <xf numFmtId="0" fontId="0" fillId="0" borderId="192" xfId="0" applyFont="1" applyBorder="1"/>
    <xf numFmtId="166" fontId="0" fillId="8" borderId="192" xfId="0" applyNumberFormat="1" applyFont="1" applyFill="1" applyBorder="1" applyAlignment="1"/>
    <xf numFmtId="167" fontId="51" fillId="9" borderId="192" xfId="1" applyNumberFormat="1" applyFont="1" applyFill="1" applyBorder="1" applyAlignment="1" applyProtection="1">
      <alignment vertical="center"/>
    </xf>
    <xf numFmtId="10" fontId="67" fillId="8" borderId="192" xfId="0" applyNumberFormat="1" applyFont="1" applyFill="1" applyBorder="1"/>
    <xf numFmtId="10" fontId="67" fillId="43" borderId="192" xfId="0" applyNumberFormat="1" applyFont="1" applyFill="1" applyBorder="1"/>
    <xf numFmtId="10" fontId="27" fillId="0" borderId="192" xfId="1" applyNumberFormat="1" applyFont="1" applyBorder="1" applyAlignment="1" applyProtection="1"/>
    <xf numFmtId="0" fontId="27" fillId="10" borderId="192" xfId="0" applyFont="1" applyFill="1" applyBorder="1"/>
    <xf numFmtId="167" fontId="27" fillId="11" borderId="192" xfId="1" applyNumberFormat="1" applyFont="1" applyFill="1" applyBorder="1" applyAlignment="1" applyProtection="1">
      <alignment vertical="center"/>
    </xf>
    <xf numFmtId="167" fontId="0" fillId="10" borderId="192" xfId="1" applyNumberFormat="1" applyFont="1" applyFill="1" applyBorder="1" applyAlignment="1" applyProtection="1">
      <alignment vertical="center"/>
    </xf>
    <xf numFmtId="167" fontId="27" fillId="10" borderId="192" xfId="1" applyNumberFormat="1" applyFont="1" applyFill="1" applyBorder="1" applyAlignment="1" applyProtection="1"/>
    <xf numFmtId="167" fontId="27" fillId="11" borderId="192" xfId="1" applyNumberFormat="1" applyFont="1" applyFill="1" applyBorder="1" applyAlignment="1" applyProtection="1"/>
    <xf numFmtId="167" fontId="0" fillId="10" borderId="192" xfId="1" applyNumberFormat="1" applyFont="1" applyFill="1" applyBorder="1" applyAlignment="1" applyProtection="1"/>
    <xf numFmtId="0" fontId="27" fillId="0" borderId="192" xfId="0" applyFont="1" applyBorder="1"/>
    <xf numFmtId="0" fontId="27" fillId="12" borderId="192" xfId="0" applyFont="1" applyFill="1" applyBorder="1"/>
    <xf numFmtId="167" fontId="27" fillId="5" borderId="192" xfId="1" applyNumberFormat="1" applyFont="1" applyFill="1" applyBorder="1" applyAlignment="1" applyProtection="1">
      <alignment vertical="center"/>
    </xf>
    <xf numFmtId="167" fontId="0" fillId="12" borderId="192" xfId="1" applyNumberFormat="1" applyFont="1" applyFill="1" applyBorder="1" applyAlignment="1" applyProtection="1"/>
    <xf numFmtId="167" fontId="27" fillId="12" borderId="192" xfId="1" applyNumberFormat="1" applyFont="1" applyFill="1" applyBorder="1" applyAlignment="1" applyProtection="1"/>
    <xf numFmtId="0" fontId="25" fillId="0" borderId="10" xfId="0" applyFont="1" applyBorder="1" applyAlignment="1">
      <alignment horizontal="left"/>
    </xf>
    <xf numFmtId="0" fontId="34" fillId="0" borderId="19" xfId="0" applyFont="1" applyBorder="1" applyAlignment="1">
      <alignment horizontal="left"/>
    </xf>
    <xf numFmtId="0" fontId="37" fillId="0" borderId="19" xfId="0" applyFont="1" applyBorder="1" applyAlignment="1">
      <alignment horizontal="left"/>
    </xf>
    <xf numFmtId="0" fontId="25" fillId="0" borderId="19" xfId="0" applyFont="1" applyBorder="1" applyAlignment="1">
      <alignment horizontal="left"/>
    </xf>
    <xf numFmtId="0" fontId="37" fillId="0" borderId="10" xfId="0" applyFont="1" applyBorder="1" applyAlignment="1">
      <alignment horizontal="left"/>
    </xf>
    <xf numFmtId="0" fontId="38" fillId="0" borderId="9" xfId="2" applyFont="1" applyBorder="1" applyAlignment="1">
      <alignment horizontal="center"/>
    </xf>
    <xf numFmtId="0" fontId="38" fillId="0" borderId="8" xfId="2" applyFont="1" applyBorder="1" applyAlignment="1">
      <alignment horizontal="center"/>
    </xf>
    <xf numFmtId="0" fontId="0" fillId="0" borderId="0" xfId="0" applyAlignment="1">
      <alignment horizontal="center"/>
    </xf>
    <xf numFmtId="165" fontId="21" fillId="23" borderId="1" xfId="0" applyNumberFormat="1" applyFont="1" applyFill="1" applyBorder="1"/>
    <xf numFmtId="165" fontId="21" fillId="22" borderId="1" xfId="0" applyNumberFormat="1" applyFont="1" applyFill="1" applyBorder="1"/>
    <xf numFmtId="165" fontId="21" fillId="21" borderId="1" xfId="0" applyNumberFormat="1" applyFont="1" applyFill="1" applyBorder="1"/>
    <xf numFmtId="10" fontId="21" fillId="0" borderId="1" xfId="1" applyNumberFormat="1" applyFont="1" applyBorder="1" applyAlignment="1" applyProtection="1"/>
    <xf numFmtId="3" fontId="21" fillId="23" borderId="1" xfId="0" applyNumberFormat="1" applyFont="1" applyFill="1" applyBorder="1"/>
    <xf numFmtId="3" fontId="21" fillId="22" borderId="1" xfId="0" applyNumberFormat="1" applyFont="1" applyFill="1" applyBorder="1"/>
    <xf numFmtId="3" fontId="21" fillId="21" borderId="1" xfId="0" applyNumberFormat="1" applyFont="1" applyFill="1" applyBorder="1"/>
    <xf numFmtId="173" fontId="21" fillId="23" borderId="1" xfId="0" applyNumberFormat="1" applyFont="1" applyFill="1" applyBorder="1"/>
    <xf numFmtId="173" fontId="21" fillId="22" borderId="1" xfId="0" applyNumberFormat="1" applyFont="1" applyFill="1" applyBorder="1"/>
    <xf numFmtId="173" fontId="21" fillId="21" borderId="1" xfId="0" applyNumberFormat="1" applyFont="1" applyFill="1" applyBorder="1"/>
    <xf numFmtId="10" fontId="21" fillId="0" borderId="1" xfId="0" applyNumberFormat="1" applyFont="1" applyBorder="1"/>
    <xf numFmtId="172" fontId="21" fillId="23" borderId="0" xfId="0" applyNumberFormat="1" applyFont="1" applyFill="1" applyBorder="1"/>
    <xf numFmtId="165" fontId="25" fillId="23" borderId="1" xfId="0" applyNumberFormat="1" applyFont="1" applyFill="1" applyBorder="1"/>
    <xf numFmtId="165" fontId="25" fillId="22" borderId="1" xfId="0" applyNumberFormat="1" applyFont="1" applyFill="1" applyBorder="1"/>
    <xf numFmtId="165" fontId="25" fillId="21" borderId="1" xfId="0" applyNumberFormat="1" applyFont="1" applyFill="1" applyBorder="1"/>
    <xf numFmtId="165" fontId="123" fillId="23" borderId="2" xfId="0" applyNumberFormat="1" applyFont="1" applyFill="1" applyBorder="1"/>
    <xf numFmtId="165" fontId="123" fillId="22" borderId="2" xfId="0" applyNumberFormat="1" applyFont="1" applyFill="1" applyBorder="1"/>
    <xf numFmtId="165" fontId="123" fillId="21" borderId="2" xfId="0" applyNumberFormat="1" applyFont="1" applyFill="1" applyBorder="1"/>
    <xf numFmtId="165" fontId="123" fillId="23" borderId="0" xfId="0" applyNumberFormat="1" applyFont="1" applyFill="1" applyBorder="1"/>
    <xf numFmtId="165" fontId="123" fillId="22" borderId="0" xfId="0" applyNumberFormat="1" applyFont="1" applyFill="1" applyBorder="1"/>
    <xf numFmtId="165" fontId="123" fillId="21" borderId="0" xfId="0" applyNumberFormat="1" applyFont="1" applyFill="1" applyBorder="1"/>
    <xf numFmtId="165" fontId="124" fillId="23" borderId="0" xfId="0" applyNumberFormat="1" applyFont="1" applyFill="1"/>
    <xf numFmtId="165" fontId="124" fillId="22" borderId="0" xfId="0" applyNumberFormat="1" applyFont="1" applyFill="1"/>
    <xf numFmtId="165" fontId="124" fillId="21" borderId="0" xfId="0" applyNumberFormat="1" applyFont="1" applyFill="1"/>
    <xf numFmtId="165" fontId="123" fillId="23" borderId="0" xfId="0" applyNumberFormat="1" applyFont="1" applyFill="1"/>
    <xf numFmtId="165" fontId="123" fillId="22" borderId="0" xfId="0" applyNumberFormat="1" applyFont="1" applyFill="1"/>
    <xf numFmtId="165" fontId="123" fillId="21" borderId="0" xfId="0" applyNumberFormat="1" applyFont="1" applyFill="1"/>
    <xf numFmtId="172" fontId="123" fillId="23" borderId="0" xfId="0" applyNumberFormat="1" applyFont="1" applyFill="1"/>
    <xf numFmtId="172" fontId="123" fillId="22" borderId="0" xfId="0" applyNumberFormat="1" applyFont="1" applyFill="1"/>
    <xf numFmtId="172" fontId="123" fillId="21" borderId="0" xfId="0" applyNumberFormat="1" applyFont="1" applyFill="1"/>
    <xf numFmtId="3" fontId="115" fillId="23" borderId="0" xfId="0" applyNumberFormat="1" applyFont="1" applyFill="1"/>
    <xf numFmtId="3" fontId="115" fillId="22" borderId="0" xfId="0" applyNumberFormat="1" applyFont="1" applyFill="1"/>
    <xf numFmtId="165" fontId="115" fillId="21" borderId="0" xfId="0" applyNumberFormat="1" applyFont="1" applyFill="1"/>
    <xf numFmtId="0" fontId="21" fillId="22" borderId="1" xfId="0" applyFont="1" applyFill="1" applyBorder="1"/>
    <xf numFmtId="165" fontId="115" fillId="23" borderId="4" xfId="0" applyNumberFormat="1" applyFont="1" applyFill="1" applyBorder="1"/>
    <xf numFmtId="165" fontId="115" fillId="22" borderId="4" xfId="0" applyNumberFormat="1" applyFont="1" applyFill="1" applyBorder="1"/>
    <xf numFmtId="165" fontId="115" fillId="21" borderId="4" xfId="0" applyNumberFormat="1" applyFont="1" applyFill="1" applyBorder="1"/>
    <xf numFmtId="173" fontId="25" fillId="23" borderId="0" xfId="0" applyNumberFormat="1" applyFont="1" applyFill="1"/>
    <xf numFmtId="49" fontId="107" fillId="0" borderId="3" xfId="0" applyNumberFormat="1" applyFont="1" applyBorder="1" applyAlignment="1">
      <alignment vertical="center"/>
    </xf>
    <xf numFmtId="165" fontId="115" fillId="23" borderId="3" xfId="0" applyNumberFormat="1" applyFont="1" applyFill="1" applyBorder="1"/>
    <xf numFmtId="165" fontId="115" fillId="22" borderId="3" xfId="0" applyNumberFormat="1" applyFont="1" applyFill="1" applyBorder="1"/>
    <xf numFmtId="165" fontId="115" fillId="21" borderId="3" xfId="0" applyNumberFormat="1" applyFont="1" applyFill="1" applyBorder="1"/>
    <xf numFmtId="10" fontId="119" fillId="0" borderId="3" xfId="1" applyNumberFormat="1" applyFont="1" applyBorder="1" applyAlignment="1" applyProtection="1"/>
    <xf numFmtId="165" fontId="14" fillId="38" borderId="205" xfId="0" applyNumberFormat="1" applyFont="1" applyFill="1" applyBorder="1" applyAlignment="1">
      <alignment horizontal="center" vertical="center"/>
    </xf>
    <xf numFmtId="165" fontId="14" fillId="38" borderId="206" xfId="0" applyNumberFormat="1" applyFont="1" applyFill="1" applyBorder="1" applyAlignment="1">
      <alignment horizontal="center" vertical="center"/>
    </xf>
    <xf numFmtId="165" fontId="14" fillId="38" borderId="13" xfId="0" applyNumberFormat="1" applyFont="1" applyFill="1" applyBorder="1" applyAlignment="1">
      <alignment horizontal="center" vertical="center"/>
    </xf>
    <xf numFmtId="165" fontId="5" fillId="38" borderId="13" xfId="0" applyNumberFormat="1" applyFont="1" applyFill="1" applyBorder="1" applyAlignment="1">
      <alignment horizontal="center" vertical="center"/>
    </xf>
    <xf numFmtId="165" fontId="2" fillId="0" borderId="192" xfId="0" applyNumberFormat="1" applyFont="1" applyBorder="1" applyAlignment="1">
      <alignment horizontal="center" vertical="center"/>
    </xf>
    <xf numFmtId="165" fontId="2" fillId="0" borderId="48" xfId="0" applyNumberFormat="1" applyFont="1" applyBorder="1" applyAlignment="1">
      <alignment horizontal="center" vertical="center"/>
    </xf>
    <xf numFmtId="165" fontId="5" fillId="38" borderId="208" xfId="0" applyNumberFormat="1" applyFont="1" applyFill="1" applyBorder="1" applyAlignment="1">
      <alignment horizontal="center" vertical="center"/>
    </xf>
    <xf numFmtId="165" fontId="2" fillId="0" borderId="33" xfId="0" applyNumberFormat="1" applyFont="1" applyBorder="1" applyAlignment="1">
      <alignment horizontal="center" vertical="center"/>
    </xf>
    <xf numFmtId="165" fontId="2" fillId="0" borderId="209" xfId="0" applyNumberFormat="1" applyFont="1" applyBorder="1" applyAlignment="1">
      <alignment horizontal="center" vertical="center"/>
    </xf>
    <xf numFmtId="165" fontId="11" fillId="0" borderId="192" xfId="0" applyNumberFormat="1" applyFont="1" applyBorder="1" applyAlignment="1">
      <alignment horizontal="center" vertical="center"/>
    </xf>
    <xf numFmtId="165" fontId="14" fillId="39" borderId="192" xfId="0" applyNumberFormat="1" applyFont="1" applyFill="1" applyBorder="1" applyAlignment="1">
      <alignment horizontal="center" vertical="center"/>
    </xf>
    <xf numFmtId="165" fontId="14" fillId="0" borderId="208" xfId="0" applyNumberFormat="1" applyFont="1" applyBorder="1" applyAlignment="1">
      <alignment horizontal="center" vertical="center"/>
    </xf>
    <xf numFmtId="0" fontId="7" fillId="0" borderId="0" xfId="0" applyFont="1"/>
    <xf numFmtId="0" fontId="2" fillId="0" borderId="5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4" xfId="0" applyFont="1" applyBorder="1"/>
    <xf numFmtId="172" fontId="2" fillId="0" borderId="64" xfId="0" applyNumberFormat="1" applyFont="1" applyBorder="1"/>
    <xf numFmtId="172" fontId="2" fillId="39" borderId="95" xfId="0" applyNumberFormat="1" applyFont="1" applyFill="1" applyBorder="1"/>
    <xf numFmtId="172" fontId="2" fillId="39" borderId="22" xfId="0" applyNumberFormat="1" applyFont="1" applyFill="1" applyBorder="1"/>
    <xf numFmtId="172" fontId="2" fillId="39" borderId="21" xfId="0" applyNumberFormat="1" applyFont="1" applyFill="1" applyBorder="1"/>
    <xf numFmtId="172" fontId="2" fillId="0" borderId="103" xfId="0" applyNumberFormat="1" applyFont="1" applyBorder="1"/>
    <xf numFmtId="172" fontId="2" fillId="0" borderId="1" xfId="0" applyNumberFormat="1" applyFont="1" applyBorder="1"/>
    <xf numFmtId="172" fontId="5" fillId="0" borderId="23" xfId="0" applyNumberFormat="1" applyFont="1" applyBorder="1"/>
    <xf numFmtId="172" fontId="5" fillId="0" borderId="8" xfId="0" applyNumberFormat="1" applyFont="1" applyBorder="1"/>
    <xf numFmtId="172" fontId="2" fillId="41" borderId="37" xfId="0" applyNumberFormat="1" applyFont="1" applyFill="1" applyBorder="1"/>
    <xf numFmtId="172" fontId="2" fillId="41" borderId="7" xfId="0" applyNumberFormat="1" applyFont="1" applyFill="1" applyBorder="1"/>
    <xf numFmtId="172" fontId="2" fillId="0" borderId="19" xfId="0" applyNumberFormat="1" applyFont="1" applyBorder="1"/>
    <xf numFmtId="172" fontId="2" fillId="0" borderId="20" xfId="0" applyNumberFormat="1" applyFont="1" applyBorder="1"/>
    <xf numFmtId="165" fontId="5" fillId="3" borderId="95" xfId="0" applyNumberFormat="1" applyFont="1" applyFill="1" applyBorder="1"/>
    <xf numFmtId="165" fontId="5" fillId="3" borderId="27" xfId="0" applyNumberFormat="1" applyFont="1" applyFill="1" applyBorder="1"/>
    <xf numFmtId="165" fontId="5" fillId="3" borderId="21" xfId="0" applyNumberFormat="1" applyFont="1" applyFill="1" applyBorder="1"/>
    <xf numFmtId="0" fontId="68" fillId="0" borderId="0" xfId="2" applyFont="1" applyFill="1" applyAlignment="1">
      <alignment horizontal="right" vertical="center"/>
    </xf>
    <xf numFmtId="172" fontId="68" fillId="21" borderId="2" xfId="0" applyNumberFormat="1" applyFont="1" applyFill="1" applyBorder="1" applyAlignment="1">
      <alignment vertical="center"/>
    </xf>
    <xf numFmtId="172" fontId="68" fillId="23" borderId="2" xfId="0" applyNumberFormat="1" applyFont="1" applyFill="1" applyBorder="1" applyAlignment="1">
      <alignment vertical="center"/>
    </xf>
    <xf numFmtId="172" fontId="68" fillId="22" borderId="2" xfId="0" applyNumberFormat="1" applyFont="1" applyFill="1" applyBorder="1" applyAlignment="1">
      <alignment vertical="center"/>
    </xf>
    <xf numFmtId="10" fontId="68" fillId="0" borderId="2" xfId="2" applyNumberFormat="1" applyFont="1" applyBorder="1" applyAlignment="1">
      <alignment vertical="center"/>
    </xf>
    <xf numFmtId="172" fontId="95" fillId="21" borderId="2" xfId="0" applyNumberFormat="1" applyFont="1" applyFill="1" applyBorder="1" applyAlignment="1">
      <alignment vertical="center"/>
    </xf>
    <xf numFmtId="172" fontId="95" fillId="23" borderId="2" xfId="0" applyNumberFormat="1" applyFont="1" applyFill="1" applyBorder="1" applyAlignment="1">
      <alignment vertical="center"/>
    </xf>
    <xf numFmtId="172" fontId="95" fillId="22" borderId="2" xfId="0" applyNumberFormat="1" applyFont="1" applyFill="1" applyBorder="1" applyAlignment="1">
      <alignment vertical="center"/>
    </xf>
    <xf numFmtId="10" fontId="95" fillId="0" borderId="2" xfId="2" applyNumberFormat="1" applyFont="1" applyBorder="1" applyAlignment="1">
      <alignment vertical="center"/>
    </xf>
    <xf numFmtId="172" fontId="68" fillId="21" borderId="0" xfId="2" applyNumberFormat="1" applyFont="1" applyFill="1" applyBorder="1" applyAlignment="1">
      <alignment vertical="center"/>
    </xf>
    <xf numFmtId="172" fontId="68" fillId="23" borderId="0" xfId="2" applyNumberFormat="1" applyFont="1" applyFill="1" applyBorder="1" applyAlignment="1">
      <alignment vertical="center"/>
    </xf>
    <xf numFmtId="172" fontId="68" fillId="22" borderId="0" xfId="2" applyNumberFormat="1" applyFont="1" applyFill="1" applyBorder="1" applyAlignment="1">
      <alignment vertical="center"/>
    </xf>
    <xf numFmtId="10" fontId="68" fillId="0" borderId="0" xfId="2" applyNumberFormat="1" applyFont="1" applyAlignment="1">
      <alignment vertical="center"/>
    </xf>
    <xf numFmtId="0" fontId="68" fillId="0" borderId="0" xfId="2" applyFont="1" applyBorder="1" applyAlignment="1">
      <alignment horizontal="right" vertical="center"/>
    </xf>
    <xf numFmtId="172" fontId="68" fillId="21" borderId="0" xfId="0" applyNumberFormat="1" applyFont="1" applyFill="1" applyBorder="1" applyAlignment="1">
      <alignment vertical="center"/>
    </xf>
    <xf numFmtId="172" fontId="68" fillId="23" borderId="0" xfId="0" applyNumberFormat="1" applyFont="1" applyFill="1" applyBorder="1" applyAlignment="1">
      <alignment vertical="center"/>
    </xf>
    <xf numFmtId="172" fontId="68" fillId="22" borderId="0" xfId="0" applyNumberFormat="1" applyFont="1" applyFill="1" applyBorder="1" applyAlignment="1">
      <alignment vertical="center"/>
    </xf>
    <xf numFmtId="10" fontId="68" fillId="0" borderId="0" xfId="2" applyNumberFormat="1" applyFont="1" applyBorder="1" applyAlignment="1">
      <alignment vertical="center"/>
    </xf>
    <xf numFmtId="0" fontId="125" fillId="0" borderId="0" xfId="0" applyFont="1"/>
    <xf numFmtId="0" fontId="68" fillId="0" borderId="0" xfId="2" applyFont="1" applyAlignment="1">
      <alignment vertical="center"/>
    </xf>
    <xf numFmtId="166" fontId="68" fillId="0" borderId="19" xfId="0" applyNumberFormat="1" applyFont="1" applyBorder="1" applyAlignment="1">
      <alignment horizontal="right" vertical="center" wrapText="1"/>
    </xf>
    <xf numFmtId="172" fontId="68" fillId="21" borderId="19" xfId="2" applyNumberFormat="1" applyFont="1" applyFill="1" applyBorder="1" applyAlignment="1">
      <alignment vertical="center"/>
    </xf>
    <xf numFmtId="172" fontId="68" fillId="23" borderId="19" xfId="2" applyNumberFormat="1" applyFont="1" applyFill="1" applyBorder="1" applyAlignment="1">
      <alignment vertical="center"/>
    </xf>
    <xf numFmtId="172" fontId="68" fillId="22" borderId="19" xfId="2" applyNumberFormat="1" applyFont="1" applyFill="1" applyBorder="1" applyAlignment="1">
      <alignment vertical="center"/>
    </xf>
    <xf numFmtId="10" fontId="68" fillId="0" borderId="19" xfId="2" applyNumberFormat="1" applyFont="1" applyBorder="1" applyAlignment="1">
      <alignment vertical="center"/>
    </xf>
    <xf numFmtId="0" fontId="68" fillId="0" borderId="0" xfId="0" applyFont="1" applyFill="1" applyAlignment="1">
      <alignment horizontal="right" vertical="center"/>
    </xf>
    <xf numFmtId="10" fontId="25" fillId="0" borderId="1" xfId="1" applyNumberFormat="1" applyFont="1" applyBorder="1" applyAlignment="1" applyProtection="1"/>
    <xf numFmtId="10" fontId="2" fillId="0" borderId="58" xfId="2" applyNumberFormat="1" applyFont="1" applyBorder="1" applyAlignment="1">
      <alignment vertical="center"/>
    </xf>
    <xf numFmtId="165" fontId="6" fillId="21" borderId="125" xfId="0" applyNumberFormat="1" applyFont="1" applyFill="1" applyBorder="1"/>
    <xf numFmtId="165" fontId="6" fillId="23" borderId="125" xfId="0" applyNumberFormat="1" applyFont="1" applyFill="1" applyBorder="1"/>
    <xf numFmtId="165" fontId="72" fillId="21" borderId="118" xfId="0" applyNumberFormat="1" applyFont="1" applyFill="1" applyBorder="1"/>
    <xf numFmtId="165" fontId="72" fillId="23" borderId="118" xfId="0" applyNumberFormat="1" applyFont="1" applyFill="1" applyBorder="1"/>
    <xf numFmtId="165" fontId="72" fillId="22" borderId="118" xfId="0" applyNumberFormat="1" applyFont="1" applyFill="1" applyBorder="1"/>
    <xf numFmtId="165" fontId="72" fillId="21" borderId="118" xfId="0" applyNumberFormat="1" applyFont="1" applyFill="1" applyBorder="1" applyAlignment="1"/>
    <xf numFmtId="165" fontId="72" fillId="23" borderId="118" xfId="0" applyNumberFormat="1" applyFont="1" applyFill="1" applyBorder="1" applyAlignment="1"/>
    <xf numFmtId="165" fontId="72" fillId="22" borderId="118" xfId="0" applyNumberFormat="1" applyFont="1" applyFill="1" applyBorder="1" applyAlignment="1"/>
    <xf numFmtId="165" fontId="6" fillId="21" borderId="118" xfId="0" applyNumberFormat="1" applyFont="1" applyFill="1" applyBorder="1" applyAlignment="1"/>
    <xf numFmtId="165" fontId="6" fillId="23" borderId="118" xfId="0" applyNumberFormat="1" applyFont="1" applyFill="1" applyBorder="1" applyAlignment="1"/>
    <xf numFmtId="165" fontId="6" fillId="22" borderId="118" xfId="0" applyNumberFormat="1" applyFont="1" applyFill="1" applyBorder="1" applyAlignment="1"/>
    <xf numFmtId="165" fontId="6" fillId="21" borderId="118" xfId="0" applyNumberFormat="1" applyFont="1" applyFill="1" applyBorder="1"/>
    <xf numFmtId="165" fontId="6" fillId="23" borderId="118" xfId="0" applyNumberFormat="1" applyFont="1" applyFill="1" applyBorder="1"/>
    <xf numFmtId="165" fontId="6" fillId="22" borderId="118" xfId="0" applyNumberFormat="1" applyFont="1" applyFill="1" applyBorder="1"/>
    <xf numFmtId="0" fontId="2" fillId="22" borderId="0" xfId="0" applyFont="1" applyFill="1"/>
    <xf numFmtId="165" fontId="5" fillId="21" borderId="0" xfId="0" applyNumberFormat="1" applyFont="1" applyFill="1" applyBorder="1" applyAlignment="1"/>
    <xf numFmtId="165" fontId="5" fillId="23" borderId="0" xfId="0" applyNumberFormat="1" applyFont="1" applyFill="1" applyBorder="1" applyAlignment="1"/>
    <xf numFmtId="165" fontId="5" fillId="22" borderId="0" xfId="0" applyNumberFormat="1" applyFont="1" applyFill="1" applyBorder="1" applyAlignment="1"/>
    <xf numFmtId="1" fontId="2" fillId="21" borderId="1" xfId="0" applyNumberFormat="1" applyFont="1" applyFill="1" applyBorder="1"/>
    <xf numFmtId="1" fontId="2" fillId="23" borderId="1" xfId="0" applyNumberFormat="1" applyFont="1" applyFill="1" applyBorder="1"/>
    <xf numFmtId="10" fontId="2" fillId="28" borderId="1" xfId="1" applyNumberFormat="1" applyFont="1" applyFill="1" applyBorder="1" applyAlignment="1" applyProtection="1"/>
    <xf numFmtId="0" fontId="6" fillId="0" borderId="0" xfId="0" applyFont="1" applyBorder="1" applyAlignment="1">
      <alignment horizontal="right"/>
    </xf>
    <xf numFmtId="1" fontId="2" fillId="21" borderId="19" xfId="0" applyNumberFormat="1" applyFont="1" applyFill="1" applyBorder="1"/>
    <xf numFmtId="1" fontId="2" fillId="23" borderId="19" xfId="0" applyNumberFormat="1" applyFont="1" applyFill="1" applyBorder="1"/>
    <xf numFmtId="1" fontId="2" fillId="22" borderId="19" xfId="0" applyNumberFormat="1" applyFont="1" applyFill="1" applyBorder="1"/>
    <xf numFmtId="10" fontId="5" fillId="28" borderId="19" xfId="1" applyNumberFormat="1" applyFont="1" applyFill="1" applyBorder="1" applyAlignment="1" applyProtection="1"/>
    <xf numFmtId="0" fontId="51" fillId="0" borderId="0" xfId="3" applyFont="1" applyFill="1"/>
    <xf numFmtId="172" fontId="51" fillId="0" borderId="0" xfId="3" applyNumberFormat="1" applyFont="1" applyFill="1" applyAlignment="1">
      <alignment horizontal="right"/>
    </xf>
    <xf numFmtId="172" fontId="5" fillId="0" borderId="0" xfId="3" applyNumberFormat="1" applyFont="1" applyFill="1" applyAlignment="1">
      <alignment horizontal="right"/>
    </xf>
    <xf numFmtId="172" fontId="4" fillId="0" borderId="0" xfId="3" applyNumberFormat="1" applyFont="1" applyFill="1" applyAlignment="1">
      <alignment horizontal="right"/>
    </xf>
    <xf numFmtId="172" fontId="2" fillId="0" borderId="0" xfId="3" applyNumberFormat="1" applyFont="1" applyFill="1" applyAlignment="1">
      <alignment horizontal="right"/>
    </xf>
    <xf numFmtId="166" fontId="7" fillId="0" borderId="0" xfId="0" applyNumberFormat="1" applyFont="1" applyFill="1" applyAlignment="1">
      <alignment vertical="center"/>
    </xf>
    <xf numFmtId="166" fontId="2" fillId="0" borderId="0" xfId="0" applyNumberFormat="1" applyFont="1" applyFill="1"/>
    <xf numFmtId="166" fontId="2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vertical="center"/>
    </xf>
    <xf numFmtId="172" fontId="0" fillId="0" borderId="0" xfId="0" applyNumberFormat="1" applyFont="1" applyFill="1"/>
    <xf numFmtId="172" fontId="2" fillId="0" borderId="0" xfId="0" applyNumberFormat="1" applyFont="1" applyFill="1" applyBorder="1" applyAlignment="1">
      <alignment horizontal="right" vertical="center"/>
    </xf>
    <xf numFmtId="172" fontId="2" fillId="0" borderId="0" xfId="0" applyNumberFormat="1" applyFont="1" applyFill="1"/>
    <xf numFmtId="172" fontId="9" fillId="0" borderId="0" xfId="0" applyNumberFormat="1" applyFont="1" applyFill="1"/>
    <xf numFmtId="165" fontId="11" fillId="0" borderId="33" xfId="0" applyNumberFormat="1" applyFont="1" applyBorder="1" applyAlignment="1">
      <alignment horizontal="center" vertical="center"/>
    </xf>
    <xf numFmtId="165" fontId="11" fillId="0" borderId="32" xfId="0" applyNumberFormat="1" applyFont="1" applyBorder="1" applyAlignment="1">
      <alignment horizontal="center" vertical="center" wrapText="1"/>
    </xf>
    <xf numFmtId="165" fontId="2" fillId="0" borderId="191" xfId="0" applyNumberFormat="1" applyFont="1" applyBorder="1" applyAlignment="1">
      <alignment horizontal="center" vertical="center"/>
    </xf>
    <xf numFmtId="165" fontId="14" fillId="0" borderId="192" xfId="0" applyNumberFormat="1" applyFont="1" applyBorder="1" applyAlignment="1">
      <alignment horizontal="center" vertical="center"/>
    </xf>
    <xf numFmtId="165" fontId="2" fillId="0" borderId="56" xfId="0" applyNumberFormat="1" applyFont="1" applyBorder="1" applyAlignment="1">
      <alignment horizontal="center" vertical="center"/>
    </xf>
    <xf numFmtId="165" fontId="14" fillId="0" borderId="48" xfId="0" applyNumberFormat="1" applyFont="1" applyBorder="1" applyAlignment="1">
      <alignment horizontal="center" vertical="center"/>
    </xf>
    <xf numFmtId="165" fontId="5" fillId="38" borderId="211" xfId="0" applyNumberFormat="1" applyFont="1" applyFill="1" applyBorder="1" applyAlignment="1">
      <alignment horizontal="center" vertical="center"/>
    </xf>
    <xf numFmtId="165" fontId="5" fillId="38" borderId="212" xfId="0" applyNumberFormat="1" applyFont="1" applyFill="1" applyBorder="1" applyAlignment="1">
      <alignment horizontal="center" vertical="center"/>
    </xf>
    <xf numFmtId="165" fontId="2" fillId="0" borderId="32" xfId="0" applyNumberFormat="1" applyFont="1" applyBorder="1" applyAlignment="1">
      <alignment horizontal="center" vertical="center"/>
    </xf>
    <xf numFmtId="165" fontId="14" fillId="0" borderId="33" xfId="0" applyNumberFormat="1" applyFont="1" applyBorder="1" applyAlignment="1">
      <alignment vertical="center"/>
    </xf>
    <xf numFmtId="165" fontId="14" fillId="0" borderId="192" xfId="0" applyNumberFormat="1" applyFont="1" applyBorder="1" applyAlignment="1">
      <alignment vertical="center"/>
    </xf>
    <xf numFmtId="165" fontId="2" fillId="0" borderId="213" xfId="0" applyNumberFormat="1" applyFont="1" applyBorder="1" applyAlignment="1">
      <alignment horizontal="center" vertical="center"/>
    </xf>
    <xf numFmtId="165" fontId="14" fillId="0" borderId="209" xfId="0" applyNumberFormat="1" applyFont="1" applyBorder="1" applyAlignment="1">
      <alignment vertical="center"/>
    </xf>
    <xf numFmtId="165" fontId="14" fillId="39" borderId="191" xfId="0" applyNumberFormat="1" applyFont="1" applyFill="1" applyBorder="1" applyAlignment="1">
      <alignment horizontal="center" vertical="center"/>
    </xf>
    <xf numFmtId="165" fontId="11" fillId="0" borderId="191" xfId="0" applyNumberFormat="1" applyFont="1" applyBorder="1" applyAlignment="1">
      <alignment horizontal="center" vertical="center"/>
    </xf>
    <xf numFmtId="165" fontId="14" fillId="0" borderId="48" xfId="0" applyNumberFormat="1" applyFont="1" applyBorder="1" applyAlignment="1">
      <alignment vertical="center"/>
    </xf>
    <xf numFmtId="165" fontId="14" fillId="31" borderId="81" xfId="0" applyNumberFormat="1" applyFont="1" applyFill="1" applyBorder="1" applyAlignment="1">
      <alignment horizontal="center" vertical="center"/>
    </xf>
    <xf numFmtId="165" fontId="14" fillId="31" borderId="208" xfId="0" applyNumberFormat="1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 applyAlignment="1">
      <alignment horizontal="center"/>
    </xf>
    <xf numFmtId="0" fontId="0" fillId="0" borderId="0" xfId="0" applyFont="1" applyFill="1" applyAlignment="1"/>
    <xf numFmtId="0" fontId="6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7" fillId="0" borderId="0" xfId="0" applyFont="1" applyFill="1" applyBorder="1"/>
    <xf numFmtId="0" fontId="25" fillId="0" borderId="1" xfId="0" applyFont="1" applyBorder="1"/>
    <xf numFmtId="165" fontId="34" fillId="0" borderId="90" xfId="0" applyNumberFormat="1" applyFont="1" applyBorder="1"/>
    <xf numFmtId="0" fontId="21" fillId="0" borderId="10" xfId="0" applyFont="1" applyBorder="1"/>
    <xf numFmtId="165" fontId="34" fillId="0" borderId="203" xfId="0" applyNumberFormat="1" applyFont="1" applyBorder="1"/>
    <xf numFmtId="165" fontId="37" fillId="21" borderId="203" xfId="0" applyNumberFormat="1" applyFont="1" applyFill="1" applyBorder="1"/>
    <xf numFmtId="165" fontId="37" fillId="21" borderId="90" xfId="0" applyNumberFormat="1" applyFont="1" applyFill="1" applyBorder="1"/>
    <xf numFmtId="3" fontId="34" fillId="0" borderId="203" xfId="0" applyNumberFormat="1" applyFont="1" applyBorder="1"/>
    <xf numFmtId="3" fontId="37" fillId="0" borderId="203" xfId="0" applyNumberFormat="1" applyFont="1" applyBorder="1"/>
    <xf numFmtId="165" fontId="37" fillId="0" borderId="90" xfId="0" applyNumberFormat="1" applyFont="1" applyBorder="1"/>
    <xf numFmtId="0" fontId="37" fillId="21" borderId="64" xfId="0" applyFont="1" applyFill="1" applyBorder="1" applyAlignment="1">
      <alignment horizontal="center"/>
    </xf>
    <xf numFmtId="3" fontId="37" fillId="21" borderId="203" xfId="0" applyNumberFormat="1" applyFont="1" applyFill="1" applyBorder="1"/>
    <xf numFmtId="0" fontId="34" fillId="0" borderId="203" xfId="0" applyFont="1" applyBorder="1"/>
    <xf numFmtId="172" fontId="25" fillId="21" borderId="203" xfId="0" applyNumberFormat="1" applyFont="1" applyFill="1" applyBorder="1"/>
    <xf numFmtId="0" fontId="37" fillId="0" borderId="203" xfId="0" applyFont="1" applyBorder="1" applyAlignment="1">
      <alignment horizontal="left"/>
    </xf>
    <xf numFmtId="165" fontId="34" fillId="0" borderId="89" xfId="0" applyNumberFormat="1" applyFont="1" applyBorder="1"/>
    <xf numFmtId="0" fontId="25" fillId="0" borderId="191" xfId="0" applyFont="1" applyBorder="1" applyAlignment="1">
      <alignment horizontal="center"/>
    </xf>
    <xf numFmtId="0" fontId="25" fillId="21" borderId="191" xfId="0" applyFont="1" applyFill="1" applyBorder="1" applyAlignment="1">
      <alignment horizontal="center"/>
    </xf>
    <xf numFmtId="3" fontId="25" fillId="21" borderId="108" xfId="0" applyNumberFormat="1" applyFont="1" applyFill="1" applyBorder="1"/>
    <xf numFmtId="172" fontId="25" fillId="21" borderId="108" xfId="0" applyNumberFormat="1" applyFont="1" applyFill="1" applyBorder="1"/>
    <xf numFmtId="0" fontId="21" fillId="0" borderId="191" xfId="0" applyFont="1" applyBorder="1" applyAlignment="1">
      <alignment horizontal="center"/>
    </xf>
    <xf numFmtId="0" fontId="34" fillId="0" borderId="215" xfId="0" applyFont="1" applyBorder="1"/>
    <xf numFmtId="165" fontId="34" fillId="0" borderId="216" xfId="0" applyNumberFormat="1" applyFont="1" applyBorder="1"/>
    <xf numFmtId="3" fontId="115" fillId="23" borderId="88" xfId="0" applyNumberFormat="1" applyFont="1" applyFill="1" applyBorder="1"/>
    <xf numFmtId="172" fontId="115" fillId="23" borderId="88" xfId="0" applyNumberFormat="1" applyFont="1" applyFill="1" applyBorder="1"/>
    <xf numFmtId="165" fontId="126" fillId="23" borderId="94" xfId="0" applyNumberFormat="1" applyFont="1" applyFill="1" applyBorder="1"/>
    <xf numFmtId="0" fontId="127" fillId="0" borderId="0" xfId="0" applyFont="1"/>
    <xf numFmtId="0" fontId="38" fillId="0" borderId="0" xfId="2" applyFont="1" applyAlignment="1">
      <alignment horizontal="left" vertical="center"/>
    </xf>
    <xf numFmtId="3" fontId="85" fillId="21" borderId="4" xfId="2" applyNumberFormat="1" applyFont="1" applyFill="1" applyBorder="1"/>
    <xf numFmtId="3" fontId="84" fillId="17" borderId="4" xfId="2" applyNumberFormat="1" applyFont="1" applyFill="1" applyBorder="1"/>
    <xf numFmtId="0" fontId="130" fillId="0" borderId="10" xfId="0" applyFont="1" applyBorder="1" applyAlignment="1">
      <alignment horizontal="center"/>
    </xf>
    <xf numFmtId="0" fontId="132" fillId="0" borderId="0" xfId="2" applyFont="1" applyAlignment="1">
      <alignment vertical="center" wrapText="1"/>
    </xf>
    <xf numFmtId="3" fontId="41" fillId="0" borderId="8" xfId="2" applyNumberFormat="1" applyFont="1" applyBorder="1"/>
    <xf numFmtId="3" fontId="69" fillId="0" borderId="9" xfId="2" applyNumberFormat="1" applyFont="1" applyBorder="1"/>
    <xf numFmtId="3" fontId="41" fillId="0" borderId="0" xfId="2" applyNumberFormat="1" applyFont="1"/>
    <xf numFmtId="3" fontId="134" fillId="21" borderId="4" xfId="2" applyNumberFormat="1" applyFont="1" applyFill="1" applyBorder="1"/>
    <xf numFmtId="0" fontId="42" fillId="0" borderId="4" xfId="2" applyFont="1" applyBorder="1"/>
    <xf numFmtId="3" fontId="134" fillId="17" borderId="4" xfId="2" applyNumberFormat="1" applyFont="1" applyFill="1" applyBorder="1"/>
    <xf numFmtId="0" fontId="127" fillId="0" borderId="8" xfId="0" applyFont="1" applyBorder="1"/>
    <xf numFmtId="3" fontId="127" fillId="0" borderId="8" xfId="0" applyNumberFormat="1" applyFont="1" applyBorder="1"/>
    <xf numFmtId="0" fontId="127" fillId="0" borderId="9" xfId="0" applyFont="1" applyBorder="1"/>
    <xf numFmtId="3" fontId="127" fillId="0" borderId="9" xfId="0" applyNumberFormat="1" applyFont="1" applyBorder="1"/>
    <xf numFmtId="0" fontId="128" fillId="17" borderId="8" xfId="2" applyFont="1" applyFill="1" applyBorder="1" applyAlignment="1">
      <alignment vertical="center"/>
    </xf>
    <xf numFmtId="0" fontId="41" fillId="0" borderId="8" xfId="2" applyFont="1" applyBorder="1"/>
    <xf numFmtId="3" fontId="84" fillId="21" borderId="8" xfId="2" applyNumberFormat="1" applyFont="1" applyFill="1" applyBorder="1"/>
    <xf numFmtId="0" fontId="41" fillId="0" borderId="4" xfId="2" applyFont="1" applyBorder="1"/>
    <xf numFmtId="3" fontId="41" fillId="21" borderId="4" xfId="2" applyNumberFormat="1" applyFont="1" applyFill="1" applyBorder="1"/>
    <xf numFmtId="0" fontId="41" fillId="0" borderId="0" xfId="2" applyFont="1"/>
    <xf numFmtId="0" fontId="41" fillId="17" borderId="4" xfId="2" applyFont="1" applyFill="1" applyBorder="1"/>
    <xf numFmtId="3" fontId="41" fillId="17" borderId="4" xfId="2" applyNumberFormat="1" applyFont="1" applyFill="1" applyBorder="1"/>
    <xf numFmtId="0" fontId="127" fillId="0" borderId="0" xfId="0" applyFont="1" applyAlignment="1">
      <alignment horizontal="left"/>
    </xf>
    <xf numFmtId="0" fontId="69" fillId="0" borderId="11" xfId="2" applyFont="1" applyBorder="1" applyAlignment="1">
      <alignment vertical="center"/>
    </xf>
    <xf numFmtId="0" fontId="69" fillId="0" borderId="18" xfId="2" applyFont="1" applyBorder="1" applyAlignment="1">
      <alignment vertical="center"/>
    </xf>
    <xf numFmtId="0" fontId="69" fillId="0" borderId="0" xfId="2" applyFont="1" applyAlignment="1">
      <alignment vertical="center"/>
    </xf>
    <xf numFmtId="0" fontId="41" fillId="0" borderId="0" xfId="2" applyFont="1" applyAlignment="1">
      <alignment horizontal="left" vertical="center"/>
    </xf>
    <xf numFmtId="0" fontId="41" fillId="0" borderId="0" xfId="2" applyFont="1" applyAlignment="1">
      <alignment vertical="center"/>
    </xf>
    <xf numFmtId="0" fontId="136" fillId="0" borderId="0" xfId="0" applyFont="1"/>
    <xf numFmtId="0" fontId="32" fillId="0" borderId="9" xfId="2" applyFont="1" applyBorder="1" applyAlignment="1">
      <alignment horizontal="center"/>
    </xf>
    <xf numFmtId="0" fontId="31" fillId="0" borderId="9" xfId="2" applyFont="1" applyBorder="1"/>
    <xf numFmtId="0" fontId="41" fillId="23" borderId="4" xfId="2" applyFont="1" applyFill="1" applyBorder="1"/>
    <xf numFmtId="3" fontId="41" fillId="23" borderId="4" xfId="2" applyNumberFormat="1" applyFont="1" applyFill="1" applyBorder="1"/>
    <xf numFmtId="169" fontId="32" fillId="0" borderId="8" xfId="2" applyNumberFormat="1" applyFont="1" applyBorder="1" applyAlignment="1">
      <alignment horizontal="right"/>
    </xf>
    <xf numFmtId="0" fontId="41" fillId="0" borderId="8" xfId="2" applyFont="1" applyBorder="1" applyAlignment="1">
      <alignment horizontal="left"/>
    </xf>
    <xf numFmtId="1" fontId="32" fillId="0" borderId="8" xfId="2" applyNumberFormat="1" applyFont="1" applyBorder="1" applyAlignment="1">
      <alignment horizontal="right"/>
    </xf>
    <xf numFmtId="1" fontId="32" fillId="0" borderId="8" xfId="2" applyNumberFormat="1" applyFont="1" applyBorder="1" applyAlignment="1">
      <alignment horizontal="center"/>
    </xf>
    <xf numFmtId="16" fontId="38" fillId="0" borderId="8" xfId="2" applyNumberFormat="1" applyFont="1" applyBorder="1" applyAlignment="1">
      <alignment horizontal="right"/>
    </xf>
    <xf numFmtId="0" fontId="137" fillId="0" borderId="8" xfId="2" applyFont="1" applyBorder="1" applyAlignment="1">
      <alignment horizontal="center" vertical="center"/>
    </xf>
    <xf numFmtId="0" fontId="132" fillId="0" borderId="0" xfId="2" applyFont="1" applyAlignment="1">
      <alignment vertical="center"/>
    </xf>
    <xf numFmtId="0" fontId="32" fillId="0" borderId="9" xfId="2" applyFont="1" applyBorder="1" applyAlignment="1">
      <alignment horizontal="right"/>
    </xf>
    <xf numFmtId="0" fontId="69" fillId="0" borderId="2" xfId="2" applyFont="1" applyBorder="1" applyAlignment="1">
      <alignment textRotation="90"/>
    </xf>
    <xf numFmtId="0" fontId="69" fillId="0" borderId="1" xfId="2" applyFont="1" applyBorder="1" applyAlignment="1">
      <alignment textRotation="90"/>
    </xf>
    <xf numFmtId="0" fontId="31" fillId="0" borderId="8" xfId="2" applyFont="1" applyBorder="1" applyAlignment="1">
      <alignment horizontal="right"/>
    </xf>
    <xf numFmtId="0" fontId="41" fillId="0" borderId="8" xfId="2" applyFont="1" applyBorder="1" applyAlignment="1">
      <alignment horizontal="right"/>
    </xf>
    <xf numFmtId="0" fontId="38" fillId="4" borderId="0" xfId="2" applyFont="1" applyFill="1"/>
    <xf numFmtId="0" fontId="38" fillId="0" borderId="9" xfId="2" applyFont="1" applyBorder="1" applyAlignment="1">
      <alignment horizontal="right"/>
    </xf>
    <xf numFmtId="0" fontId="69" fillId="0" borderId="12" xfId="2" applyFont="1" applyBorder="1" applyAlignment="1">
      <alignment textRotation="90"/>
    </xf>
    <xf numFmtId="3" fontId="38" fillId="0" borderId="10" xfId="2" applyNumberFormat="1" applyFont="1" applyBorder="1"/>
    <xf numFmtId="0" fontId="41" fillId="23" borderId="2" xfId="2" applyFont="1" applyFill="1" applyBorder="1"/>
    <xf numFmtId="3" fontId="41" fillId="23" borderId="2" xfId="2" applyNumberFormat="1" applyFont="1" applyFill="1" applyBorder="1"/>
    <xf numFmtId="0" fontId="38" fillId="0" borderId="220" xfId="2" applyFont="1" applyBorder="1"/>
    <xf numFmtId="17" fontId="32" fillId="0" borderId="8" xfId="2" applyNumberFormat="1" applyFont="1" applyBorder="1" applyAlignment="1">
      <alignment horizontal="right"/>
    </xf>
    <xf numFmtId="0" fontId="41" fillId="4" borderId="8" xfId="2" applyFont="1" applyFill="1" applyBorder="1"/>
    <xf numFmtId="0" fontId="128" fillId="0" borderId="8" xfId="2" applyFont="1" applyBorder="1" applyAlignment="1">
      <alignment horizontal="center"/>
    </xf>
    <xf numFmtId="0" fontId="41" fillId="0" borderId="8" xfId="2" applyFont="1" applyBorder="1" applyAlignment="1">
      <alignment horizontal="center"/>
    </xf>
    <xf numFmtId="0" fontId="132" fillId="0" borderId="8" xfId="2" applyFont="1" applyBorder="1" applyAlignment="1">
      <alignment horizontal="left"/>
    </xf>
    <xf numFmtId="169" fontId="32" fillId="0" borderId="9" xfId="2" applyNumberFormat="1" applyFont="1" applyBorder="1" applyAlignment="1">
      <alignment horizontal="right"/>
    </xf>
    <xf numFmtId="0" fontId="69" fillId="0" borderId="0" xfId="2" applyFont="1" applyAlignment="1">
      <alignment textRotation="90"/>
    </xf>
    <xf numFmtId="170" fontId="32" fillId="0" borderId="8" xfId="2" applyNumberFormat="1" applyFont="1" applyBorder="1" applyAlignment="1">
      <alignment horizontal="right"/>
    </xf>
    <xf numFmtId="0" fontId="38" fillId="0" borderId="0" xfId="2" applyFont="1" applyAlignment="1">
      <alignment horizontal="center"/>
    </xf>
    <xf numFmtId="0" fontId="38" fillId="0" borderId="8" xfId="2" applyFont="1" applyBorder="1" applyAlignment="1">
      <alignment horizontal="right" shrinkToFit="1"/>
    </xf>
    <xf numFmtId="16" fontId="38" fillId="0" borderId="8" xfId="2" applyNumberFormat="1" applyFont="1" applyBorder="1" applyAlignment="1">
      <alignment horizontal="right" shrinkToFit="1"/>
    </xf>
    <xf numFmtId="16" fontId="38" fillId="0" borderId="8" xfId="2" applyNumberFormat="1" applyFont="1" applyBorder="1"/>
    <xf numFmtId="0" fontId="127" fillId="0" borderId="8" xfId="0" applyFont="1" applyBorder="1" applyAlignment="1">
      <alignment horizontal="left"/>
    </xf>
    <xf numFmtId="0" fontId="32" fillId="0" borderId="8" xfId="2" applyFont="1" applyBorder="1" applyAlignment="1">
      <alignment horizontal="right" shrinkToFit="1"/>
    </xf>
    <xf numFmtId="0" fontId="127" fillId="0" borderId="9" xfId="0" applyFont="1" applyBorder="1" applyAlignment="1">
      <alignment horizontal="left"/>
    </xf>
    <xf numFmtId="0" fontId="85" fillId="22" borderId="4" xfId="2" applyFont="1" applyFill="1" applyBorder="1"/>
    <xf numFmtId="3" fontId="85" fillId="22" borderId="4" xfId="2" applyNumberFormat="1" applyFont="1" applyFill="1" applyBorder="1"/>
    <xf numFmtId="0" fontId="41" fillId="22" borderId="4" xfId="2" applyFont="1" applyFill="1" applyBorder="1"/>
    <xf numFmtId="3" fontId="41" fillId="22" borderId="4" xfId="2" applyNumberFormat="1" applyFont="1" applyFill="1" applyBorder="1"/>
    <xf numFmtId="0" fontId="41" fillId="0" borderId="0" xfId="2" applyFont="1" applyAlignment="1">
      <alignment horizontal="left" vertical="center" shrinkToFit="1"/>
    </xf>
    <xf numFmtId="0" fontId="44" fillId="0" borderId="0" xfId="2" applyFont="1"/>
    <xf numFmtId="3" fontId="44" fillId="0" borderId="0" xfId="2" applyNumberFormat="1" applyFont="1"/>
    <xf numFmtId="0" fontId="41" fillId="22" borderId="116" xfId="2" applyFont="1" applyFill="1" applyBorder="1"/>
    <xf numFmtId="3" fontId="41" fillId="22" borderId="116" xfId="2" applyNumberFormat="1" applyFont="1" applyFill="1" applyBorder="1"/>
    <xf numFmtId="0" fontId="138" fillId="20" borderId="4" xfId="2" applyFont="1" applyFill="1" applyBorder="1"/>
    <xf numFmtId="3" fontId="84" fillId="20" borderId="4" xfId="2" applyNumberFormat="1" applyFont="1" applyFill="1" applyBorder="1"/>
    <xf numFmtId="0" fontId="139" fillId="25" borderId="0" xfId="2" applyFont="1" applyFill="1" applyAlignment="1">
      <alignment horizontal="center" vertical="center"/>
    </xf>
    <xf numFmtId="3" fontId="140" fillId="25" borderId="0" xfId="2" applyNumberFormat="1" applyFont="1" applyFill="1" applyAlignment="1">
      <alignment horizontal="center" vertical="center"/>
    </xf>
    <xf numFmtId="3" fontId="42" fillId="0" borderId="0" xfId="2" applyNumberFormat="1" applyFont="1"/>
    <xf numFmtId="0" fontId="41" fillId="26" borderId="4" xfId="2" applyFont="1" applyFill="1" applyBorder="1" applyAlignment="1">
      <alignment horizontal="left" vertical="center"/>
    </xf>
    <xf numFmtId="3" fontId="41" fillId="26" borderId="4" xfId="2" applyNumberFormat="1" applyFont="1" applyFill="1" applyBorder="1"/>
    <xf numFmtId="0" fontId="38" fillId="0" borderId="0" xfId="2" applyFont="1" applyAlignment="1">
      <alignment horizontal="left" wrapText="1"/>
    </xf>
    <xf numFmtId="0" fontId="2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62" xfId="0" applyFont="1" applyBorder="1" applyAlignment="1">
      <alignment horizontal="center" vertical="center" wrapText="1"/>
    </xf>
    <xf numFmtId="0" fontId="14" fillId="0" borderId="163" xfId="0" applyFont="1" applyBorder="1" applyAlignment="1">
      <alignment horizontal="center" vertical="center" wrapText="1"/>
    </xf>
    <xf numFmtId="0" fontId="14" fillId="0" borderId="164" xfId="0" applyFont="1" applyBorder="1" applyAlignment="1">
      <alignment horizontal="center" vertical="center" wrapText="1"/>
    </xf>
    <xf numFmtId="0" fontId="5" fillId="0" borderId="162" xfId="0" applyFont="1" applyBorder="1" applyAlignment="1">
      <alignment horizontal="center" vertical="center" wrapText="1"/>
    </xf>
    <xf numFmtId="0" fontId="5" fillId="0" borderId="163" xfId="0" applyFont="1" applyBorder="1" applyAlignment="1">
      <alignment horizontal="center" vertical="center" wrapText="1"/>
    </xf>
    <xf numFmtId="0" fontId="5" fillId="0" borderId="164" xfId="0" applyFont="1" applyBorder="1" applyAlignment="1">
      <alignment horizontal="center" vertical="center" wrapText="1"/>
    </xf>
    <xf numFmtId="0" fontId="5" fillId="0" borderId="207" xfId="0" applyFont="1" applyBorder="1" applyAlignment="1">
      <alignment horizontal="center" vertical="center" wrapText="1"/>
    </xf>
    <xf numFmtId="0" fontId="5" fillId="0" borderId="210" xfId="0" applyFont="1" applyBorder="1" applyAlignment="1">
      <alignment horizontal="center" vertical="center" wrapText="1"/>
    </xf>
    <xf numFmtId="0" fontId="5" fillId="0" borderId="0" xfId="2" applyFont="1" applyBorder="1" applyAlignment="1">
      <alignment horizontal="left"/>
    </xf>
    <xf numFmtId="0" fontId="5" fillId="0" borderId="1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6" fillId="0" borderId="0" xfId="2" applyFont="1" applyBorder="1" applyAlignment="1">
      <alignment horizontal="left"/>
    </xf>
    <xf numFmtId="0" fontId="23" fillId="0" borderId="0" xfId="0" applyFont="1" applyBorder="1" applyAlignment="1">
      <alignment horizontal="center" vertical="center"/>
    </xf>
    <xf numFmtId="0" fontId="14" fillId="0" borderId="158" xfId="0" applyFont="1" applyBorder="1" applyAlignment="1">
      <alignment horizontal="center" vertical="center" wrapText="1"/>
    </xf>
    <xf numFmtId="0" fontId="5" fillId="0" borderId="18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horizontal="center" vertical="center"/>
    </xf>
    <xf numFmtId="3" fontId="26" fillId="0" borderId="8" xfId="0" applyNumberFormat="1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11" fontId="2" fillId="0" borderId="8" xfId="0" applyNumberFormat="1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6" fillId="0" borderId="64" xfId="0" applyFont="1" applyFill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64" xfId="2" applyFont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left" vertical="center" wrapText="1"/>
    </xf>
    <xf numFmtId="176" fontId="6" fillId="0" borderId="19" xfId="0" applyNumberFormat="1" applyFont="1" applyFill="1" applyBorder="1" applyAlignment="1">
      <alignment horizontal="left" vertical="center" wrapText="1"/>
    </xf>
    <xf numFmtId="176" fontId="6" fillId="0" borderId="64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6" fillId="0" borderId="19" xfId="2" applyFont="1" applyBorder="1" applyAlignment="1">
      <alignment horizontal="left" vertical="center"/>
    </xf>
    <xf numFmtId="0" fontId="6" fillId="0" borderId="64" xfId="2" applyFont="1" applyBorder="1" applyAlignment="1">
      <alignment horizontal="left" vertical="center"/>
    </xf>
    <xf numFmtId="176" fontId="2" fillId="0" borderId="8" xfId="0" applyNumberFormat="1" applyFont="1" applyFill="1" applyBorder="1" applyAlignment="1">
      <alignment horizontal="left" vertical="center" wrapText="1"/>
    </xf>
    <xf numFmtId="176" fontId="2" fillId="0" borderId="8" xfId="0" applyNumberFormat="1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11" fontId="2" fillId="0" borderId="8" xfId="0" applyNumberFormat="1" applyFont="1" applyFill="1" applyBorder="1" applyAlignment="1">
      <alignment horizontal="left" vertical="center"/>
    </xf>
    <xf numFmtId="0" fontId="6" fillId="0" borderId="10" xfId="2" applyFont="1" applyFill="1" applyBorder="1" applyAlignment="1">
      <alignment horizontal="left" vertical="center"/>
    </xf>
    <xf numFmtId="0" fontId="6" fillId="0" borderId="19" xfId="2" applyFont="1" applyFill="1" applyBorder="1" applyAlignment="1">
      <alignment horizontal="left" vertical="center"/>
    </xf>
    <xf numFmtId="0" fontId="6" fillId="0" borderId="64" xfId="2" applyFont="1" applyFill="1" applyBorder="1" applyAlignment="1">
      <alignment horizontal="left" vertical="center"/>
    </xf>
    <xf numFmtId="166" fontId="5" fillId="0" borderId="8" xfId="0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/>
    </xf>
    <xf numFmtId="166" fontId="5" fillId="0" borderId="1" xfId="0" applyNumberFormat="1" applyFont="1" applyBorder="1" applyAlignment="1">
      <alignment horizontal="left" vertical="center" wrapText="1"/>
    </xf>
    <xf numFmtId="0" fontId="2" fillId="0" borderId="8" xfId="4" applyFont="1" applyBorder="1" applyAlignment="1">
      <alignment horizontal="left"/>
    </xf>
    <xf numFmtId="166" fontId="5" fillId="0" borderId="10" xfId="0" applyNumberFormat="1" applyFont="1" applyBorder="1" applyAlignment="1">
      <alignment horizontal="center" vertical="center" wrapText="1"/>
    </xf>
    <xf numFmtId="166" fontId="5" fillId="0" borderId="64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 wrapText="1"/>
    </xf>
    <xf numFmtId="49" fontId="2" fillId="0" borderId="47" xfId="0" applyNumberFormat="1" applyFont="1" applyBorder="1" applyAlignment="1">
      <alignment horizontal="left" vertical="center" wrapText="1"/>
    </xf>
    <xf numFmtId="176" fontId="8" fillId="0" borderId="116" xfId="0" applyNumberFormat="1" applyFont="1" applyBorder="1" applyAlignment="1">
      <alignment horizontal="left" vertical="center" wrapText="1"/>
    </xf>
    <xf numFmtId="176" fontId="8" fillId="0" borderId="57" xfId="0" applyNumberFormat="1" applyFont="1" applyBorder="1" applyAlignment="1">
      <alignment horizontal="left" vertical="center" wrapText="1"/>
    </xf>
    <xf numFmtId="176" fontId="8" fillId="0" borderId="13" xfId="0" applyNumberFormat="1" applyFont="1" applyFill="1" applyBorder="1" applyAlignment="1">
      <alignment horizontal="left" vertical="center"/>
    </xf>
    <xf numFmtId="49" fontId="2" fillId="0" borderId="10" xfId="0" applyNumberFormat="1" applyFont="1" applyFill="1" applyBorder="1" applyAlignment="1">
      <alignment horizontal="left" vertical="center" wrapText="1"/>
    </xf>
    <xf numFmtId="49" fontId="2" fillId="0" borderId="64" xfId="0" applyNumberFormat="1" applyFont="1" applyFill="1" applyBorder="1" applyAlignment="1">
      <alignment horizontal="left" vertical="center" wrapText="1"/>
    </xf>
    <xf numFmtId="0" fontId="2" fillId="0" borderId="10" xfId="4" applyFont="1" applyBorder="1" applyAlignment="1">
      <alignment horizontal="left"/>
    </xf>
    <xf numFmtId="0" fontId="2" fillId="0" borderId="64" xfId="4" applyFont="1" applyBorder="1" applyAlignment="1">
      <alignment horizontal="left"/>
    </xf>
    <xf numFmtId="49" fontId="2" fillId="0" borderId="10" xfId="0" applyNumberFormat="1" applyFont="1" applyBorder="1" applyAlignment="1">
      <alignment horizontal="left" vertical="center" wrapText="1"/>
    </xf>
    <xf numFmtId="49" fontId="2" fillId="0" borderId="64" xfId="0" applyNumberFormat="1" applyFont="1" applyBorder="1" applyAlignment="1">
      <alignment horizontal="left" vertical="center" wrapText="1"/>
    </xf>
    <xf numFmtId="0" fontId="2" fillId="0" borderId="8" xfId="4" applyFont="1" applyBorder="1"/>
    <xf numFmtId="176" fontId="2" fillId="0" borderId="8" xfId="0" applyNumberFormat="1" applyFont="1" applyBorder="1" applyAlignment="1">
      <alignment horizontal="left" vertical="center" wrapText="1"/>
    </xf>
    <xf numFmtId="176" fontId="2" fillId="0" borderId="10" xfId="0" applyNumberFormat="1" applyFont="1" applyFill="1" applyBorder="1" applyAlignment="1">
      <alignment horizontal="left" vertical="center"/>
    </xf>
    <xf numFmtId="176" fontId="2" fillId="0" borderId="64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/>
    </xf>
    <xf numFmtId="176" fontId="6" fillId="0" borderId="8" xfId="0" applyNumberFormat="1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left" vertical="center"/>
    </xf>
    <xf numFmtId="49" fontId="2" fillId="0" borderId="19" xfId="0" applyNumberFormat="1" applyFont="1" applyFill="1" applyBorder="1" applyAlignment="1">
      <alignment horizontal="left" vertical="center"/>
    </xf>
    <xf numFmtId="49" fontId="2" fillId="0" borderId="19" xfId="0" applyNumberFormat="1" applyFont="1" applyFill="1" applyBorder="1" applyAlignment="1">
      <alignment horizontal="left" vertical="center" wrapText="1"/>
    </xf>
    <xf numFmtId="49" fontId="2" fillId="0" borderId="128" xfId="0" applyNumberFormat="1" applyFont="1" applyFill="1" applyBorder="1" applyAlignment="1">
      <alignment horizontal="left" vertical="center" wrapText="1"/>
    </xf>
    <xf numFmtId="49" fontId="2" fillId="0" borderId="130" xfId="0" applyNumberFormat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wrapText="1"/>
    </xf>
    <xf numFmtId="0" fontId="2" fillId="0" borderId="19" xfId="0" applyFont="1" applyFill="1" applyBorder="1" applyAlignment="1">
      <alignment horizontal="left" wrapText="1"/>
    </xf>
    <xf numFmtId="11" fontId="2" fillId="0" borderId="10" xfId="0" applyNumberFormat="1" applyFont="1" applyFill="1" applyBorder="1" applyAlignment="1">
      <alignment horizontal="left" vertical="center" wrapText="1"/>
    </xf>
    <xf numFmtId="11" fontId="2" fillId="0" borderId="19" xfId="0" applyNumberFormat="1" applyFont="1" applyFill="1" applyBorder="1" applyAlignment="1">
      <alignment horizontal="left" vertical="center" wrapText="1"/>
    </xf>
    <xf numFmtId="176" fontId="48" fillId="0" borderId="86" xfId="0" applyNumberFormat="1" applyFont="1" applyFill="1" applyBorder="1" applyAlignment="1">
      <alignment horizontal="left" vertical="center" wrapText="1"/>
    </xf>
    <xf numFmtId="176" fontId="48" fillId="0" borderId="58" xfId="0" applyNumberFormat="1" applyFont="1" applyFill="1" applyBorder="1" applyAlignment="1">
      <alignment horizontal="left" vertical="center" wrapText="1"/>
    </xf>
    <xf numFmtId="176" fontId="48" fillId="0" borderId="66" xfId="0" applyNumberFormat="1" applyFont="1" applyFill="1" applyBorder="1" applyAlignment="1">
      <alignment horizontal="left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2" fillId="0" borderId="18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left" vertical="center" wrapText="1"/>
    </xf>
    <xf numFmtId="176" fontId="48" fillId="0" borderId="135" xfId="0" applyNumberFormat="1" applyFont="1" applyFill="1" applyBorder="1" applyAlignment="1">
      <alignment horizontal="left" vertical="center" wrapText="1"/>
    </xf>
    <xf numFmtId="176" fontId="48" fillId="0" borderId="136" xfId="0" applyNumberFormat="1" applyFont="1" applyFill="1" applyBorder="1" applyAlignment="1">
      <alignment horizontal="left" vertical="center" wrapText="1"/>
    </xf>
    <xf numFmtId="176" fontId="2" fillId="0" borderId="10" xfId="0" applyNumberFormat="1" applyFont="1" applyFill="1" applyBorder="1" applyAlignment="1">
      <alignment horizontal="left" vertical="center" wrapText="1"/>
    </xf>
    <xf numFmtId="176" fontId="2" fillId="0" borderId="19" xfId="0" applyNumberFormat="1" applyFont="1" applyFill="1" applyBorder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left" vertical="center" wrapText="1"/>
    </xf>
    <xf numFmtId="49" fontId="2" fillId="0" borderId="98" xfId="0" applyNumberFormat="1" applyFont="1" applyFill="1" applyBorder="1" applyAlignment="1">
      <alignment horizontal="left" vertical="center" wrapText="1"/>
    </xf>
    <xf numFmtId="176" fontId="2" fillId="0" borderId="64" xfId="0" applyNumberFormat="1" applyFont="1" applyFill="1" applyBorder="1" applyAlignment="1">
      <alignment horizontal="left" vertical="center" wrapText="1"/>
    </xf>
    <xf numFmtId="176" fontId="48" fillId="0" borderId="10" xfId="0" applyNumberFormat="1" applyFont="1" applyFill="1" applyBorder="1" applyAlignment="1">
      <alignment horizontal="left" vertical="center"/>
    </xf>
    <xf numFmtId="176" fontId="48" fillId="0" borderId="19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128" xfId="0" applyFont="1" applyFill="1" applyBorder="1"/>
    <xf numFmtId="0" fontId="2" fillId="0" borderId="130" xfId="0" applyFont="1" applyFill="1" applyBorder="1"/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2" fontId="2" fillId="0" borderId="3" xfId="0" applyNumberFormat="1" applyFont="1" applyBorder="1" applyAlignment="1">
      <alignment horizontal="right"/>
    </xf>
    <xf numFmtId="0" fontId="5" fillId="0" borderId="29" xfId="0" applyFont="1" applyBorder="1" applyAlignment="1">
      <alignment horizontal="center" vertical="center"/>
    </xf>
    <xf numFmtId="172" fontId="2" fillId="0" borderId="21" xfId="0" applyNumberFormat="1" applyFont="1" applyBorder="1" applyAlignment="1">
      <alignment horizontal="center" vertical="center" wrapText="1"/>
    </xf>
    <xf numFmtId="172" fontId="2" fillId="0" borderId="22" xfId="0" applyNumberFormat="1" applyFont="1" applyBorder="1" applyAlignment="1">
      <alignment horizontal="center" vertical="center" wrapText="1"/>
    </xf>
    <xf numFmtId="172" fontId="5" fillId="0" borderId="25" xfId="0" applyNumberFormat="1" applyFont="1" applyBorder="1" applyAlignment="1">
      <alignment horizontal="center" vertical="center"/>
    </xf>
    <xf numFmtId="172" fontId="2" fillId="0" borderId="3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172" fontId="5" fillId="0" borderId="25" xfId="0" applyNumberFormat="1" applyFont="1" applyBorder="1" applyAlignment="1">
      <alignment horizontal="left" vertical="center"/>
    </xf>
    <xf numFmtId="0" fontId="2" fillId="0" borderId="5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172" fontId="5" fillId="0" borderId="40" xfId="0" applyNumberFormat="1" applyFont="1" applyBorder="1" applyAlignment="1">
      <alignment horizontal="left" vertical="center"/>
    </xf>
    <xf numFmtId="172" fontId="5" fillId="0" borderId="40" xfId="0" applyNumberFormat="1" applyFont="1" applyBorder="1" applyAlignment="1">
      <alignment horizontal="left"/>
    </xf>
    <xf numFmtId="0" fontId="5" fillId="0" borderId="53" xfId="0" applyFont="1" applyBorder="1" applyAlignment="1">
      <alignment horizontal="left" vertical="center"/>
    </xf>
    <xf numFmtId="0" fontId="5" fillId="0" borderId="25" xfId="0" applyFont="1" applyBorder="1" applyAlignment="1">
      <alignment horizontal="left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5" fillId="0" borderId="10" xfId="3" applyFont="1" applyBorder="1" applyAlignment="1">
      <alignment horizontal="left" vertical="center" wrapText="1"/>
    </xf>
    <xf numFmtId="0" fontId="5" fillId="0" borderId="64" xfId="3" applyFont="1" applyBorder="1" applyAlignment="1">
      <alignment horizontal="left" vertical="center" wrapText="1"/>
    </xf>
    <xf numFmtId="0" fontId="5" fillId="0" borderId="10" xfId="3" applyFont="1" applyBorder="1" applyAlignment="1">
      <alignment horizontal="left" vertical="center"/>
    </xf>
    <xf numFmtId="0" fontId="5" fillId="0" borderId="64" xfId="3" applyFont="1" applyBorder="1" applyAlignment="1">
      <alignment horizontal="left" vertical="center"/>
    </xf>
    <xf numFmtId="0" fontId="48" fillId="0" borderId="10" xfId="3" applyFont="1" applyBorder="1" applyAlignment="1">
      <alignment horizontal="left" vertical="center"/>
    </xf>
    <xf numFmtId="0" fontId="48" fillId="0" borderId="64" xfId="3" applyFont="1" applyBorder="1" applyAlignment="1">
      <alignment horizontal="left" vertical="center"/>
    </xf>
    <xf numFmtId="0" fontId="53" fillId="0" borderId="0" xfId="3" applyFont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2" fillId="0" borderId="61" xfId="0" applyFont="1" applyBorder="1" applyAlignment="1">
      <alignment horizontal="left"/>
    </xf>
    <xf numFmtId="0" fontId="2" fillId="0" borderId="64" xfId="0" applyFont="1" applyBorder="1" applyAlignment="1">
      <alignment horizontal="left"/>
    </xf>
    <xf numFmtId="49" fontId="2" fillId="0" borderId="64" xfId="0" applyNumberFormat="1" applyFont="1" applyBorder="1" applyAlignment="1">
      <alignment horizontal="left"/>
    </xf>
    <xf numFmtId="0" fontId="2" fillId="0" borderId="64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5" fillId="23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2" fillId="22" borderId="8" xfId="0" applyFont="1" applyFill="1" applyBorder="1" applyAlignment="1">
      <alignment horizontal="left"/>
    </xf>
    <xf numFmtId="0" fontId="5" fillId="21" borderId="5" xfId="0" applyFont="1" applyFill="1" applyBorder="1" applyAlignment="1">
      <alignment horizontal="left" vertical="center" wrapText="1"/>
    </xf>
    <xf numFmtId="0" fontId="5" fillId="22" borderId="68" xfId="0" applyFont="1" applyFill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5" fillId="27" borderId="20" xfId="0" applyFont="1" applyFill="1" applyBorder="1" applyAlignment="1">
      <alignment horizontal="left"/>
    </xf>
    <xf numFmtId="0" fontId="2" fillId="0" borderId="6" xfId="0" applyFont="1" applyBorder="1" applyAlignment="1">
      <alignment horizontal="left"/>
    </xf>
    <xf numFmtId="0" fontId="5" fillId="20" borderId="8" xfId="0" applyFont="1" applyFill="1" applyBorder="1" applyAlignment="1">
      <alignment horizontal="left"/>
    </xf>
    <xf numFmtId="0" fontId="2" fillId="23" borderId="8" xfId="0" applyFont="1" applyFill="1" applyBorder="1" applyAlignment="1">
      <alignment horizontal="left"/>
    </xf>
    <xf numFmtId="0" fontId="2" fillId="0" borderId="194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196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7" xfId="0" applyFont="1" applyBorder="1" applyAlignment="1">
      <alignment horizontal="left"/>
    </xf>
    <xf numFmtId="0" fontId="5" fillId="21" borderId="198" xfId="0" applyFont="1" applyFill="1" applyBorder="1" applyAlignment="1">
      <alignment horizontal="left"/>
    </xf>
    <xf numFmtId="0" fontId="5" fillId="21" borderId="199" xfId="0" applyFont="1" applyFill="1" applyBorder="1" applyAlignment="1">
      <alignment horizontal="left"/>
    </xf>
    <xf numFmtId="0" fontId="5" fillId="21" borderId="200" xfId="0" applyFont="1" applyFill="1" applyBorder="1" applyAlignment="1">
      <alignment horizontal="left"/>
    </xf>
    <xf numFmtId="0" fontId="5" fillId="21" borderId="8" xfId="0" applyFont="1" applyFill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95" xfId="0" applyFont="1" applyBorder="1" applyAlignment="1">
      <alignment horizontal="left"/>
    </xf>
    <xf numFmtId="0" fontId="2" fillId="0" borderId="142" xfId="0" applyFont="1" applyBorder="1" applyAlignment="1">
      <alignment horizontal="left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4" fillId="20" borderId="0" xfId="0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23" borderId="0" xfId="0" applyNumberFormat="1" applyFont="1" applyFill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68" fillId="29" borderId="0" xfId="0" applyFont="1" applyFill="1" applyAlignment="1">
      <alignment horizontal="center"/>
    </xf>
    <xf numFmtId="0" fontId="68" fillId="3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/>
    </xf>
    <xf numFmtId="0" fontId="68" fillId="31" borderId="0" xfId="0" applyFont="1" applyFill="1" applyBorder="1" applyAlignment="1">
      <alignment horizontal="center"/>
    </xf>
    <xf numFmtId="0" fontId="68" fillId="25" borderId="0" xfId="0" applyFont="1" applyFill="1" applyAlignment="1">
      <alignment horizontal="center"/>
    </xf>
    <xf numFmtId="0" fontId="6" fillId="31" borderId="0" xfId="0" applyFont="1" applyFill="1" applyBorder="1" applyAlignment="1">
      <alignment horizontal="center"/>
    </xf>
    <xf numFmtId="0" fontId="30" fillId="3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8" fillId="33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2" fillId="20" borderId="0" xfId="0" applyFont="1" applyFill="1" applyAlignment="1">
      <alignment horizontal="right"/>
    </xf>
    <xf numFmtId="0" fontId="2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30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/>
    </xf>
    <xf numFmtId="166" fontId="39" fillId="0" borderId="53" xfId="0" applyNumberFormat="1" applyFont="1" applyBorder="1" applyAlignment="1">
      <alignment horizontal="left" vertical="center" wrapText="1"/>
    </xf>
    <xf numFmtId="0" fontId="27" fillId="0" borderId="53" xfId="0" applyFont="1" applyBorder="1" applyAlignment="1">
      <alignment horizontal="left" wrapText="1"/>
    </xf>
    <xf numFmtId="0" fontId="27" fillId="0" borderId="53" xfId="0" applyFont="1" applyBorder="1" applyAlignment="1">
      <alignment horizontal="left"/>
    </xf>
    <xf numFmtId="0" fontId="27" fillId="0" borderId="34" xfId="0" applyFont="1" applyBorder="1" applyAlignment="1">
      <alignment horizontal="left" wrapText="1"/>
    </xf>
    <xf numFmtId="0" fontId="63" fillId="0" borderId="0" xfId="5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49" fontId="11" fillId="0" borderId="0" xfId="0" applyNumberFormat="1" applyFont="1" applyBorder="1" applyAlignment="1">
      <alignment horizontal="left"/>
    </xf>
    <xf numFmtId="0" fontId="11" fillId="0" borderId="0" xfId="0" applyFont="1" applyFill="1" applyBorder="1" applyAlignment="1">
      <alignment horizontal="left" wrapText="1"/>
    </xf>
    <xf numFmtId="0" fontId="2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28" fillId="0" borderId="0" xfId="0" applyFont="1" applyAlignment="1">
      <alignment horizontal="left" vertical="center" wrapText="1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25" fillId="0" borderId="40" xfId="0" applyFont="1" applyBorder="1" applyAlignment="1">
      <alignment horizontal="left"/>
    </xf>
    <xf numFmtId="0" fontId="37" fillId="0" borderId="95" xfId="0" applyFont="1" applyBorder="1" applyAlignment="1">
      <alignment horizontal="left"/>
    </xf>
    <xf numFmtId="0" fontId="37" fillId="0" borderId="40" xfId="0" applyFont="1" applyBorder="1" applyAlignment="1">
      <alignment horizontal="left"/>
    </xf>
    <xf numFmtId="0" fontId="25" fillId="0" borderId="19" xfId="0" applyFont="1" applyBorder="1" applyAlignment="1">
      <alignment horizontal="left"/>
    </xf>
    <xf numFmtId="0" fontId="34" fillId="0" borderId="19" xfId="0" applyFont="1" applyBorder="1" applyAlignment="1">
      <alignment horizontal="left"/>
    </xf>
    <xf numFmtId="0" fontId="34" fillId="0" borderId="10" xfId="0" applyFont="1" applyBorder="1" applyAlignment="1">
      <alignment horizontal="left"/>
    </xf>
    <xf numFmtId="0" fontId="34" fillId="0" borderId="10" xfId="0" applyFont="1" applyBorder="1" applyAlignment="1">
      <alignment horizontal="left" wrapText="1"/>
    </xf>
    <xf numFmtId="0" fontId="34" fillId="0" borderId="2" xfId="0" applyFont="1" applyBorder="1" applyAlignment="1">
      <alignment horizontal="left"/>
    </xf>
    <xf numFmtId="0" fontId="37" fillId="21" borderId="19" xfId="0" applyFont="1" applyFill="1" applyBorder="1" applyAlignment="1">
      <alignment horizontal="right"/>
    </xf>
    <xf numFmtId="0" fontId="37" fillId="21" borderId="214" xfId="0" applyFont="1" applyFill="1" applyBorder="1" applyAlignment="1">
      <alignment horizontal="right"/>
    </xf>
    <xf numFmtId="0" fontId="37" fillId="0" borderId="10" xfId="0" applyFont="1" applyBorder="1" applyAlignment="1">
      <alignment horizontal="left"/>
    </xf>
    <xf numFmtId="0" fontId="37" fillId="21" borderId="10" xfId="0" applyFont="1" applyFill="1" applyBorder="1" applyAlignment="1">
      <alignment horizontal="left"/>
    </xf>
    <xf numFmtId="0" fontId="37" fillId="21" borderId="19" xfId="0" applyFont="1" applyFill="1" applyBorder="1" applyAlignment="1">
      <alignment horizontal="left"/>
    </xf>
    <xf numFmtId="0" fontId="37" fillId="21" borderId="90" xfId="0" applyFont="1" applyFill="1" applyBorder="1" applyAlignment="1">
      <alignment horizontal="left"/>
    </xf>
    <xf numFmtId="0" fontId="25" fillId="0" borderId="10" xfId="0" applyFont="1" applyBorder="1" applyAlignment="1">
      <alignment horizontal="left"/>
    </xf>
    <xf numFmtId="0" fontId="25" fillId="21" borderId="214" xfId="0" applyFont="1" applyFill="1" applyBorder="1" applyAlignment="1">
      <alignment horizontal="right"/>
    </xf>
    <xf numFmtId="0" fontId="25" fillId="21" borderId="10" xfId="0" applyFont="1" applyFill="1" applyBorder="1" applyAlignment="1">
      <alignment horizontal="left"/>
    </xf>
    <xf numFmtId="0" fontId="37" fillId="23" borderId="217" xfId="0" applyFont="1" applyFill="1" applyBorder="1" applyAlignment="1">
      <alignment horizontal="center"/>
    </xf>
    <xf numFmtId="0" fontId="37" fillId="23" borderId="215" xfId="0" applyFont="1" applyFill="1" applyBorder="1" applyAlignment="1">
      <alignment horizontal="center"/>
    </xf>
    <xf numFmtId="0" fontId="25" fillId="21" borderId="10" xfId="0" applyFont="1" applyFill="1" applyBorder="1" applyAlignment="1">
      <alignment horizontal="right"/>
    </xf>
    <xf numFmtId="0" fontId="25" fillId="23" borderId="95" xfId="0" applyFont="1" applyFill="1" applyBorder="1" applyAlignment="1">
      <alignment horizontal="center"/>
    </xf>
    <xf numFmtId="0" fontId="32" fillId="0" borderId="10" xfId="2" applyFont="1" applyBorder="1" applyAlignment="1">
      <alignment horizontal="left"/>
    </xf>
    <xf numFmtId="0" fontId="32" fillId="0" borderId="19" xfId="2" applyFont="1" applyBorder="1" applyAlignment="1">
      <alignment horizontal="left"/>
    </xf>
    <xf numFmtId="0" fontId="32" fillId="0" borderId="64" xfId="2" applyFont="1" applyBorder="1" applyAlignment="1">
      <alignment horizontal="left"/>
    </xf>
    <xf numFmtId="0" fontId="32" fillId="0" borderId="218" xfId="2" applyFont="1" applyBorder="1" applyAlignment="1">
      <alignment horizontal="left"/>
    </xf>
    <xf numFmtId="0" fontId="32" fillId="0" borderId="219" xfId="2" applyFont="1" applyBorder="1" applyAlignment="1">
      <alignment horizontal="left"/>
    </xf>
    <xf numFmtId="0" fontId="32" fillId="0" borderId="161" xfId="2" applyFont="1" applyBorder="1" applyAlignment="1">
      <alignment horizontal="left"/>
    </xf>
    <xf numFmtId="0" fontId="127" fillId="0" borderId="10" xfId="0" applyFont="1" applyBorder="1"/>
    <xf numFmtId="0" fontId="127" fillId="0" borderId="19" xfId="0" applyFont="1" applyBorder="1"/>
    <xf numFmtId="0" fontId="127" fillId="0" borderId="64" xfId="0" applyFont="1" applyBorder="1"/>
    <xf numFmtId="0" fontId="38" fillId="0" borderId="118" xfId="2" applyFont="1" applyBorder="1" applyAlignment="1">
      <alignment horizontal="left"/>
    </xf>
    <xf numFmtId="0" fontId="38" fillId="0" borderId="4" xfId="2" applyFont="1" applyBorder="1" applyAlignment="1">
      <alignment horizontal="left"/>
    </xf>
    <xf numFmtId="0" fontId="38" fillId="0" borderId="0" xfId="2" applyFont="1" applyAlignment="1">
      <alignment horizontal="left"/>
    </xf>
    <xf numFmtId="0" fontId="127" fillId="0" borderId="10" xfId="0" applyFont="1" applyBorder="1" applyAlignment="1">
      <alignment horizontal="left"/>
    </xf>
    <xf numFmtId="0" fontId="127" fillId="0" borderId="19" xfId="0" applyFont="1" applyBorder="1" applyAlignment="1">
      <alignment horizontal="left"/>
    </xf>
    <xf numFmtId="0" fontId="127" fillId="0" borderId="64" xfId="0" applyFont="1" applyBorder="1" applyAlignment="1">
      <alignment horizontal="left"/>
    </xf>
    <xf numFmtId="0" fontId="38" fillId="0" borderId="10" xfId="2" applyFont="1" applyBorder="1" applyAlignment="1">
      <alignment horizontal="center"/>
    </xf>
    <xf numFmtId="0" fontId="38" fillId="0" borderId="19" xfId="2" applyFont="1" applyBorder="1" applyAlignment="1">
      <alignment horizontal="center"/>
    </xf>
    <xf numFmtId="0" fontId="38" fillId="0" borderId="64" xfId="2" applyFont="1" applyBorder="1" applyAlignment="1">
      <alignment horizontal="center"/>
    </xf>
    <xf numFmtId="0" fontId="82" fillId="21" borderId="10" xfId="0" applyFont="1" applyFill="1" applyBorder="1" applyAlignment="1">
      <alignment horizontal="center"/>
    </xf>
    <xf numFmtId="0" fontId="82" fillId="21" borderId="19" xfId="0" applyFont="1" applyFill="1" applyBorder="1" applyAlignment="1">
      <alignment horizontal="center"/>
    </xf>
    <xf numFmtId="0" fontId="82" fillId="21" borderId="64" xfId="0" applyFont="1" applyFill="1" applyBorder="1" applyAlignment="1">
      <alignment horizontal="center"/>
    </xf>
    <xf numFmtId="0" fontId="38" fillId="0" borderId="2" xfId="2" applyFont="1" applyBorder="1" applyAlignment="1">
      <alignment horizontal="center"/>
    </xf>
    <xf numFmtId="0" fontId="38" fillId="0" borderId="0" xfId="2" applyFont="1" applyAlignment="1">
      <alignment horizontal="center"/>
    </xf>
    <xf numFmtId="0" fontId="38" fillId="0" borderId="1" xfId="2" applyFont="1" applyBorder="1" applyAlignment="1">
      <alignment horizontal="center"/>
    </xf>
    <xf numFmtId="0" fontId="38" fillId="0" borderId="10" xfId="2" applyFont="1" applyBorder="1" applyAlignment="1">
      <alignment horizontal="left"/>
    </xf>
    <xf numFmtId="0" fontId="38" fillId="0" borderId="19" xfId="2" applyFont="1" applyBorder="1" applyAlignment="1">
      <alignment horizontal="left"/>
    </xf>
    <xf numFmtId="0" fontId="38" fillId="0" borderId="64" xfId="2" applyFont="1" applyBorder="1" applyAlignment="1">
      <alignment horizontal="left"/>
    </xf>
    <xf numFmtId="0" fontId="38" fillId="0" borderId="218" xfId="2" applyFont="1" applyBorder="1" applyAlignment="1">
      <alignment horizontal="left"/>
    </xf>
    <xf numFmtId="0" fontId="38" fillId="0" borderId="219" xfId="2" applyFont="1" applyBorder="1" applyAlignment="1">
      <alignment horizontal="left"/>
    </xf>
    <xf numFmtId="0" fontId="38" fillId="0" borderId="161" xfId="2" applyFont="1" applyBorder="1" applyAlignment="1">
      <alignment horizontal="left"/>
    </xf>
    <xf numFmtId="0" fontId="42" fillId="0" borderId="10" xfId="2" applyFont="1" applyBorder="1" applyAlignment="1">
      <alignment horizontal="left" vertical="center"/>
    </xf>
    <xf numFmtId="0" fontId="42" fillId="0" borderId="19" xfId="2" applyFont="1" applyBorder="1" applyAlignment="1">
      <alignment horizontal="left" vertical="center"/>
    </xf>
    <xf numFmtId="0" fontId="42" fillId="0" borderId="64" xfId="2" applyFont="1" applyBorder="1" applyAlignment="1">
      <alignment horizontal="left" vertical="center"/>
    </xf>
    <xf numFmtId="0" fontId="38" fillId="0" borderId="47" xfId="2" applyFont="1" applyBorder="1" applyAlignment="1">
      <alignment horizontal="center" vertical="center"/>
    </xf>
    <xf numFmtId="0" fontId="38" fillId="0" borderId="55" xfId="2" applyFont="1" applyBorder="1" applyAlignment="1">
      <alignment horizontal="center" vertical="center"/>
    </xf>
    <xf numFmtId="0" fontId="38" fillId="0" borderId="11" xfId="2" applyFont="1" applyBorder="1" applyAlignment="1">
      <alignment horizontal="center" vertical="center"/>
    </xf>
    <xf numFmtId="0" fontId="38" fillId="0" borderId="2" xfId="2" applyFont="1" applyBorder="1" applyAlignment="1">
      <alignment horizontal="center" vertical="center"/>
    </xf>
    <xf numFmtId="0" fontId="38" fillId="0" borderId="18" xfId="2" applyFont="1" applyBorder="1" applyAlignment="1">
      <alignment horizontal="center" vertical="center"/>
    </xf>
    <xf numFmtId="0" fontId="38" fillId="0" borderId="1" xfId="2" applyFont="1" applyBorder="1" applyAlignment="1">
      <alignment horizontal="center" vertical="center"/>
    </xf>
    <xf numFmtId="0" fontId="38" fillId="0" borderId="9" xfId="2" applyFont="1" applyBorder="1" applyAlignment="1">
      <alignment horizontal="center" vertical="center"/>
    </xf>
    <xf numFmtId="0" fontId="38" fillId="0" borderId="6" xfId="2" applyFont="1" applyBorder="1" applyAlignment="1">
      <alignment horizontal="center" vertical="center"/>
    </xf>
    <xf numFmtId="0" fontId="38" fillId="0" borderId="47" xfId="2" applyFont="1" applyBorder="1" applyAlignment="1">
      <alignment horizontal="center"/>
    </xf>
    <xf numFmtId="0" fontId="38" fillId="0" borderId="37" xfId="2" applyFont="1" applyBorder="1" applyAlignment="1">
      <alignment horizontal="center"/>
    </xf>
    <xf numFmtId="0" fontId="38" fillId="0" borderId="10" xfId="2" applyFont="1" applyBorder="1"/>
    <xf numFmtId="0" fontId="38" fillId="0" borderId="19" xfId="2" applyFont="1" applyBorder="1"/>
    <xf numFmtId="0" fontId="38" fillId="0" borderId="64" xfId="2" applyFont="1" applyBorder="1"/>
    <xf numFmtId="0" fontId="75" fillId="21" borderId="124" xfId="2" applyFont="1" applyFill="1" applyBorder="1" applyAlignment="1">
      <alignment horizontal="center"/>
    </xf>
    <xf numFmtId="0" fontId="75" fillId="21" borderId="125" xfId="2" applyFont="1" applyFill="1" applyBorder="1" applyAlignment="1">
      <alignment horizontal="center"/>
    </xf>
    <xf numFmtId="0" fontId="75" fillId="21" borderId="126" xfId="2" applyFont="1" applyFill="1" applyBorder="1" applyAlignment="1">
      <alignment horizontal="center"/>
    </xf>
    <xf numFmtId="0" fontId="31" fillId="0" borderId="19" xfId="2" applyFont="1" applyBorder="1" applyAlignment="1">
      <alignment horizontal="center"/>
    </xf>
    <xf numFmtId="0" fontId="31" fillId="0" borderId="64" xfId="2" applyFont="1" applyBorder="1" applyAlignment="1">
      <alignment horizontal="center"/>
    </xf>
    <xf numFmtId="0" fontId="38" fillId="0" borderId="55" xfId="2" applyFont="1" applyBorder="1" applyAlignment="1">
      <alignment horizontal="center"/>
    </xf>
    <xf numFmtId="0" fontId="44" fillId="0" borderId="10" xfId="2" applyFont="1" applyBorder="1" applyAlignment="1">
      <alignment horizontal="center"/>
    </xf>
    <xf numFmtId="0" fontId="44" fillId="0" borderId="19" xfId="2" applyFont="1" applyBorder="1" applyAlignment="1">
      <alignment horizontal="center"/>
    </xf>
    <xf numFmtId="0" fontId="44" fillId="0" borderId="64" xfId="2" applyFont="1" applyBorder="1" applyAlignment="1">
      <alignment horizontal="center"/>
    </xf>
    <xf numFmtId="0" fontId="127" fillId="0" borderId="2" xfId="0" applyFont="1" applyBorder="1" applyAlignment="1">
      <alignment horizontal="center"/>
    </xf>
    <xf numFmtId="0" fontId="127" fillId="0" borderId="47" xfId="0" applyFont="1" applyBorder="1" applyAlignment="1">
      <alignment horizontal="center"/>
    </xf>
    <xf numFmtId="0" fontId="127" fillId="0" borderId="0" xfId="0" applyFont="1" applyAlignment="1">
      <alignment horizontal="center"/>
    </xf>
    <xf numFmtId="0" fontId="127" fillId="0" borderId="37" xfId="0" applyFont="1" applyBorder="1" applyAlignment="1">
      <alignment horizontal="center"/>
    </xf>
    <xf numFmtId="0" fontId="129" fillId="0" borderId="11" xfId="2" applyFont="1" applyBorder="1" applyAlignment="1">
      <alignment horizontal="left" vertical="center"/>
    </xf>
    <xf numFmtId="0" fontId="129" fillId="0" borderId="2" xfId="2" applyFont="1" applyBorder="1" applyAlignment="1">
      <alignment horizontal="left" vertical="center"/>
    </xf>
    <xf numFmtId="0" fontId="129" fillId="0" borderId="47" xfId="2" applyFont="1" applyBorder="1" applyAlignment="1">
      <alignment horizontal="left" vertical="center"/>
    </xf>
    <xf numFmtId="0" fontId="129" fillId="0" borderId="18" xfId="2" applyFont="1" applyBorder="1" applyAlignment="1">
      <alignment horizontal="left" vertical="center"/>
    </xf>
    <xf numFmtId="0" fontId="129" fillId="0" borderId="1" xfId="2" applyFont="1" applyBorder="1" applyAlignment="1">
      <alignment horizontal="left" vertical="center"/>
    </xf>
    <xf numFmtId="0" fontId="129" fillId="0" borderId="55" xfId="2" applyFont="1" applyBorder="1" applyAlignment="1">
      <alignment horizontal="left" vertical="center"/>
    </xf>
    <xf numFmtId="0" fontId="127" fillId="0" borderId="1" xfId="0" applyFont="1" applyBorder="1" applyAlignment="1">
      <alignment horizontal="center"/>
    </xf>
    <xf numFmtId="0" fontId="127" fillId="0" borderId="55" xfId="0" applyFont="1" applyBorder="1" applyAlignment="1">
      <alignment horizontal="center"/>
    </xf>
    <xf numFmtId="0" fontId="41" fillId="4" borderId="11" xfId="2" applyFont="1" applyFill="1" applyBorder="1" applyAlignment="1">
      <alignment horizontal="left" vertical="center"/>
    </xf>
    <xf numFmtId="0" fontId="41" fillId="4" borderId="2" xfId="2" applyFont="1" applyFill="1" applyBorder="1" applyAlignment="1">
      <alignment horizontal="left" vertical="center"/>
    </xf>
    <xf numFmtId="0" fontId="41" fillId="4" borderId="47" xfId="2" applyFont="1" applyFill="1" applyBorder="1" applyAlignment="1">
      <alignment horizontal="left" vertical="center"/>
    </xf>
    <xf numFmtId="0" fontId="41" fillId="4" borderId="18" xfId="2" applyFont="1" applyFill="1" applyBorder="1" applyAlignment="1">
      <alignment horizontal="left" vertical="center"/>
    </xf>
    <xf numFmtId="0" fontId="41" fillId="4" borderId="1" xfId="2" applyFont="1" applyFill="1" applyBorder="1" applyAlignment="1">
      <alignment horizontal="left" vertical="center"/>
    </xf>
    <xf numFmtId="0" fontId="41" fillId="4" borderId="55" xfId="2" applyFont="1" applyFill="1" applyBorder="1" applyAlignment="1">
      <alignment horizontal="left" vertical="center"/>
    </xf>
    <xf numFmtId="0" fontId="31" fillId="0" borderId="10" xfId="2" applyFont="1" applyBorder="1" applyAlignment="1">
      <alignment horizontal="center"/>
    </xf>
    <xf numFmtId="0" fontId="127" fillId="0" borderId="218" xfId="0" applyFont="1" applyBorder="1" applyAlignment="1">
      <alignment horizontal="center"/>
    </xf>
    <xf numFmtId="0" fontId="127" fillId="0" borderId="219" xfId="0" applyFont="1" applyBorder="1" applyAlignment="1">
      <alignment horizontal="center"/>
    </xf>
    <xf numFmtId="0" fontId="127" fillId="0" borderId="161" xfId="0" applyFont="1" applyBorder="1" applyAlignment="1">
      <alignment horizontal="center"/>
    </xf>
    <xf numFmtId="0" fontId="73" fillId="21" borderId="113" xfId="0" applyFont="1" applyFill="1" applyBorder="1" applyAlignment="1">
      <alignment horizontal="center"/>
    </xf>
    <xf numFmtId="0" fontId="73" fillId="21" borderId="114" xfId="0" applyFont="1" applyFill="1" applyBorder="1" applyAlignment="1">
      <alignment horizontal="center"/>
    </xf>
    <xf numFmtId="0" fontId="73" fillId="21" borderId="115" xfId="0" applyFont="1" applyFill="1" applyBorder="1" applyAlignment="1">
      <alignment horizontal="center"/>
    </xf>
    <xf numFmtId="0" fontId="127" fillId="0" borderId="11" xfId="0" applyFont="1" applyBorder="1" applyAlignment="1">
      <alignment horizontal="center"/>
    </xf>
    <xf numFmtId="0" fontId="127" fillId="0" borderId="18" xfId="0" applyFont="1" applyBorder="1" applyAlignment="1">
      <alignment horizontal="center"/>
    </xf>
    <xf numFmtId="0" fontId="75" fillId="21" borderId="113" xfId="2" applyFont="1" applyFill="1" applyBorder="1" applyAlignment="1">
      <alignment horizontal="center"/>
    </xf>
    <xf numFmtId="0" fontId="75" fillId="21" borderId="114" xfId="2" applyFont="1" applyFill="1" applyBorder="1" applyAlignment="1">
      <alignment horizontal="center"/>
    </xf>
    <xf numFmtId="0" fontId="75" fillId="21" borderId="115" xfId="2" applyFont="1" applyFill="1" applyBorder="1" applyAlignment="1">
      <alignment horizontal="center"/>
    </xf>
    <xf numFmtId="0" fontId="38" fillId="0" borderId="9" xfId="2" applyFont="1" applyBorder="1" applyAlignment="1">
      <alignment horizontal="center"/>
    </xf>
    <xf numFmtId="0" fontId="38" fillId="0" borderId="7" xfId="2" applyFont="1" applyBorder="1" applyAlignment="1">
      <alignment horizontal="center"/>
    </xf>
    <xf numFmtId="0" fontId="38" fillId="0" borderId="6" xfId="2" applyFont="1" applyBorder="1" applyAlignment="1">
      <alignment horizontal="center"/>
    </xf>
    <xf numFmtId="0" fontId="85" fillId="0" borderId="4" xfId="2" applyFont="1" applyBorder="1" applyAlignment="1">
      <alignment horizontal="left" vertical="center"/>
    </xf>
    <xf numFmtId="0" fontId="84" fillId="17" borderId="4" xfId="2" applyFont="1" applyFill="1" applyBorder="1" applyAlignment="1">
      <alignment horizontal="left" vertical="center"/>
    </xf>
    <xf numFmtId="0" fontId="62" fillId="0" borderId="10" xfId="0" applyFont="1" applyBorder="1" applyAlignment="1">
      <alignment horizontal="left"/>
    </xf>
    <xf numFmtId="0" fontId="62" fillId="0" borderId="19" xfId="0" applyFont="1" applyBorder="1" applyAlignment="1">
      <alignment horizontal="left"/>
    </xf>
    <xf numFmtId="0" fontId="62" fillId="0" borderId="64" xfId="0" applyFont="1" applyBorder="1" applyAlignment="1">
      <alignment horizontal="left"/>
    </xf>
    <xf numFmtId="0" fontId="82" fillId="21" borderId="113" xfId="0" applyFont="1" applyFill="1" applyBorder="1" applyAlignment="1">
      <alignment horizontal="center"/>
    </xf>
    <xf numFmtId="0" fontId="82" fillId="21" borderId="114" xfId="0" applyFont="1" applyFill="1" applyBorder="1" applyAlignment="1">
      <alignment horizontal="center"/>
    </xf>
    <xf numFmtId="0" fontId="82" fillId="21" borderId="115" xfId="0" applyFont="1" applyFill="1" applyBorder="1" applyAlignment="1">
      <alignment horizontal="center"/>
    </xf>
    <xf numFmtId="0" fontId="127" fillId="0" borderId="218" xfId="0" applyFont="1" applyBorder="1" applyAlignment="1">
      <alignment horizontal="left"/>
    </xf>
    <xf numFmtId="0" fontId="127" fillId="0" borderId="219" xfId="0" applyFont="1" applyBorder="1" applyAlignment="1">
      <alignment horizontal="left"/>
    </xf>
    <xf numFmtId="0" fontId="127" fillId="0" borderId="161" xfId="0" applyFont="1" applyBorder="1" applyAlignment="1">
      <alignment horizontal="left"/>
    </xf>
    <xf numFmtId="0" fontId="127" fillId="0" borderId="9" xfId="0" applyFont="1" applyBorder="1" applyAlignment="1">
      <alignment horizontal="center"/>
    </xf>
    <xf numFmtId="0" fontId="127" fillId="0" borderId="7" xfId="0" applyFont="1" applyBorder="1" applyAlignment="1">
      <alignment horizontal="center"/>
    </xf>
    <xf numFmtId="0" fontId="127" fillId="0" borderId="6" xfId="0" applyFont="1" applyBorder="1" applyAlignment="1">
      <alignment horizontal="center"/>
    </xf>
    <xf numFmtId="0" fontId="38" fillId="0" borderId="10" xfId="2" applyFont="1" applyBorder="1" applyAlignment="1">
      <alignment horizontal="left" vertical="center"/>
    </xf>
    <xf numFmtId="0" fontId="38" fillId="0" borderId="19" xfId="2" applyFont="1" applyBorder="1" applyAlignment="1">
      <alignment horizontal="left" vertical="center"/>
    </xf>
    <xf numFmtId="0" fontId="38" fillId="0" borderId="64" xfId="2" applyFont="1" applyBorder="1" applyAlignment="1">
      <alignment horizontal="left" vertical="center"/>
    </xf>
    <xf numFmtId="0" fontId="130" fillId="17" borderId="10" xfId="0" applyFont="1" applyFill="1" applyBorder="1" applyAlignment="1">
      <alignment horizontal="center"/>
    </xf>
    <xf numFmtId="0" fontId="130" fillId="17" borderId="19" xfId="0" applyFont="1" applyFill="1" applyBorder="1" applyAlignment="1">
      <alignment horizontal="center"/>
    </xf>
    <xf numFmtId="0" fontId="130" fillId="17" borderId="64" xfId="0" applyFont="1" applyFill="1" applyBorder="1" applyAlignment="1">
      <alignment horizontal="center"/>
    </xf>
    <xf numFmtId="0" fontId="127" fillId="0" borderId="10" xfId="0" applyFont="1" applyBorder="1" applyAlignment="1">
      <alignment horizontal="center"/>
    </xf>
    <xf numFmtId="0" fontId="127" fillId="0" borderId="19" xfId="0" applyFont="1" applyBorder="1" applyAlignment="1">
      <alignment horizontal="center"/>
    </xf>
    <xf numFmtId="0" fontId="127" fillId="0" borderId="64" xfId="0" applyFont="1" applyBorder="1" applyAlignment="1">
      <alignment horizontal="center"/>
    </xf>
    <xf numFmtId="0" fontId="130" fillId="0" borderId="19" xfId="0" applyFont="1" applyBorder="1" applyAlignment="1">
      <alignment horizontal="center"/>
    </xf>
    <xf numFmtId="0" fontId="130" fillId="0" borderId="64" xfId="0" applyFont="1" applyBorder="1" applyAlignment="1">
      <alignment horizontal="center"/>
    </xf>
    <xf numFmtId="0" fontId="84" fillId="17" borderId="8" xfId="2" applyFont="1" applyFill="1" applyBorder="1" applyAlignment="1">
      <alignment horizontal="center" vertical="center"/>
    </xf>
    <xf numFmtId="0" fontId="31" fillId="21" borderId="113" xfId="2" applyFont="1" applyFill="1" applyBorder="1" applyAlignment="1">
      <alignment horizontal="center"/>
    </xf>
    <xf numFmtId="0" fontId="31" fillId="21" borderId="114" xfId="2" applyFont="1" applyFill="1" applyBorder="1" applyAlignment="1">
      <alignment horizontal="center"/>
    </xf>
    <xf numFmtId="0" fontId="31" fillId="21" borderId="115" xfId="2" applyFont="1" applyFill="1" applyBorder="1" applyAlignment="1">
      <alignment horizontal="center"/>
    </xf>
    <xf numFmtId="0" fontId="41" fillId="0" borderId="10" xfId="2" applyFont="1" applyBorder="1" applyAlignment="1">
      <alignment horizontal="left" vertical="center"/>
    </xf>
    <xf numFmtId="0" fontId="41" fillId="0" borderId="19" xfId="2" applyFont="1" applyBorder="1" applyAlignment="1">
      <alignment horizontal="left" vertical="center"/>
    </xf>
    <xf numFmtId="0" fontId="41" fillId="0" borderId="64" xfId="2" applyFont="1" applyBorder="1" applyAlignment="1">
      <alignment horizontal="left" vertical="center"/>
    </xf>
    <xf numFmtId="0" fontId="41" fillId="17" borderId="10" xfId="2" applyFont="1" applyFill="1" applyBorder="1" applyAlignment="1">
      <alignment horizontal="center" vertical="center"/>
    </xf>
    <xf numFmtId="0" fontId="41" fillId="17" borderId="19" xfId="2" applyFont="1" applyFill="1" applyBorder="1" applyAlignment="1">
      <alignment horizontal="center" vertical="center"/>
    </xf>
    <xf numFmtId="0" fontId="41" fillId="17" borderId="64" xfId="2" applyFont="1" applyFill="1" applyBorder="1" applyAlignment="1">
      <alignment horizontal="center" vertical="center"/>
    </xf>
    <xf numFmtId="0" fontId="41" fillId="0" borderId="10" xfId="2" applyFont="1" applyBorder="1" applyAlignment="1">
      <alignment horizontal="center" vertical="center"/>
    </xf>
    <xf numFmtId="0" fontId="41" fillId="0" borderId="19" xfId="2" applyFont="1" applyBorder="1" applyAlignment="1">
      <alignment horizontal="center" vertical="center"/>
    </xf>
    <xf numFmtId="0" fontId="41" fillId="0" borderId="64" xfId="2" applyFont="1" applyBorder="1" applyAlignment="1">
      <alignment horizontal="center" vertical="center"/>
    </xf>
    <xf numFmtId="0" fontId="84" fillId="17" borderId="2" xfId="2" applyFont="1" applyFill="1" applyBorder="1" applyAlignment="1">
      <alignment horizontal="center" vertical="center"/>
    </xf>
    <xf numFmtId="0" fontId="84" fillId="17" borderId="0" xfId="2" applyFont="1" applyFill="1" applyAlignment="1">
      <alignment horizontal="center" vertical="center"/>
    </xf>
    <xf numFmtId="0" fontId="129" fillId="0" borderId="0" xfId="2" applyFont="1" applyAlignment="1">
      <alignment horizontal="left" vertical="center"/>
    </xf>
    <xf numFmtId="0" fontId="82" fillId="21" borderId="113" xfId="2" applyFont="1" applyFill="1" applyBorder="1" applyAlignment="1">
      <alignment horizontal="center" vertical="center"/>
    </xf>
    <xf numFmtId="0" fontId="82" fillId="21" borderId="114" xfId="2" applyFont="1" applyFill="1" applyBorder="1" applyAlignment="1">
      <alignment horizontal="center" vertical="center"/>
    </xf>
    <xf numFmtId="0" fontId="82" fillId="21" borderId="115" xfId="2" applyFont="1" applyFill="1" applyBorder="1" applyAlignment="1">
      <alignment horizontal="center" vertical="center"/>
    </xf>
    <xf numFmtId="0" fontId="73" fillId="0" borderId="10" xfId="2" applyFont="1" applyBorder="1" applyAlignment="1">
      <alignment horizontal="left" vertical="center"/>
    </xf>
    <xf numFmtId="0" fontId="73" fillId="0" borderId="19" xfId="2" applyFont="1" applyBorder="1" applyAlignment="1">
      <alignment horizontal="left" vertical="center"/>
    </xf>
    <xf numFmtId="0" fontId="73" fillId="0" borderId="64" xfId="2" applyFont="1" applyBorder="1" applyAlignment="1">
      <alignment horizontal="left" vertical="center"/>
    </xf>
    <xf numFmtId="0" fontId="84" fillId="17" borderId="11" xfId="2" applyFont="1" applyFill="1" applyBorder="1" applyAlignment="1">
      <alignment horizontal="center" vertical="center"/>
    </xf>
    <xf numFmtId="0" fontId="84" fillId="17" borderId="47" xfId="2" applyFont="1" applyFill="1" applyBorder="1" applyAlignment="1">
      <alignment horizontal="center" vertical="center"/>
    </xf>
    <xf numFmtId="0" fontId="84" fillId="17" borderId="18" xfId="2" applyFont="1" applyFill="1" applyBorder="1" applyAlignment="1">
      <alignment horizontal="center" vertical="center"/>
    </xf>
    <xf numFmtId="0" fontId="84" fillId="17" borderId="1" xfId="2" applyFont="1" applyFill="1" applyBorder="1" applyAlignment="1">
      <alignment horizontal="center" vertical="center"/>
    </xf>
    <xf numFmtId="0" fontId="84" fillId="17" borderId="55" xfId="2" applyFont="1" applyFill="1" applyBorder="1" applyAlignment="1">
      <alignment horizontal="center" vertical="center"/>
    </xf>
    <xf numFmtId="0" fontId="42" fillId="0" borderId="11" xfId="2" applyFont="1" applyBorder="1" applyAlignment="1">
      <alignment horizontal="left" vertical="center"/>
    </xf>
    <xf numFmtId="0" fontId="42" fillId="0" borderId="2" xfId="2" applyFont="1" applyBorder="1" applyAlignment="1">
      <alignment horizontal="left" vertical="center"/>
    </xf>
    <xf numFmtId="0" fontId="42" fillId="0" borderId="47" xfId="2" applyFont="1" applyBorder="1" applyAlignment="1">
      <alignment horizontal="left" vertical="center"/>
    </xf>
    <xf numFmtId="0" fontId="42" fillId="0" borderId="18" xfId="2" applyFont="1" applyBorder="1" applyAlignment="1">
      <alignment horizontal="left" vertical="center"/>
    </xf>
    <xf numFmtId="0" fontId="42" fillId="0" borderId="1" xfId="2" applyFont="1" applyBorder="1" applyAlignment="1">
      <alignment horizontal="left" vertical="center"/>
    </xf>
    <xf numFmtId="0" fontId="42" fillId="0" borderId="55" xfId="2" applyFont="1" applyBorder="1" applyAlignment="1">
      <alignment horizontal="left" vertical="center"/>
    </xf>
    <xf numFmtId="0" fontId="135" fillId="17" borderId="10" xfId="0" applyFont="1" applyFill="1" applyBorder="1" applyAlignment="1">
      <alignment horizontal="center"/>
    </xf>
    <xf numFmtId="0" fontId="135" fillId="17" borderId="19" xfId="0" applyFont="1" applyFill="1" applyBorder="1" applyAlignment="1">
      <alignment horizontal="center"/>
    </xf>
    <xf numFmtId="0" fontId="135" fillId="17" borderId="64" xfId="0" applyFont="1" applyFill="1" applyBorder="1" applyAlignment="1">
      <alignment horizontal="center"/>
    </xf>
    <xf numFmtId="0" fontId="128" fillId="17" borderId="9" xfId="2" applyFont="1" applyFill="1" applyBorder="1" applyAlignment="1">
      <alignment horizontal="center" vertical="center"/>
    </xf>
    <xf numFmtId="0" fontId="128" fillId="17" borderId="6" xfId="2" applyFont="1" applyFill="1" applyBorder="1" applyAlignment="1">
      <alignment horizontal="center" vertical="center"/>
    </xf>
    <xf numFmtId="0" fontId="42" fillId="0" borderId="2" xfId="2" applyFont="1" applyBorder="1" applyAlignment="1">
      <alignment horizontal="center" vertical="center"/>
    </xf>
    <xf numFmtId="0" fontId="87" fillId="0" borderId="218" xfId="2" applyFont="1" applyBorder="1" applyAlignment="1">
      <alignment horizontal="left" vertical="center"/>
    </xf>
    <xf numFmtId="0" fontId="87" fillId="0" borderId="219" xfId="2" applyFont="1" applyBorder="1" applyAlignment="1">
      <alignment horizontal="left" vertical="center"/>
    </xf>
    <xf numFmtId="0" fontId="87" fillId="0" borderId="161" xfId="2" applyFont="1" applyBorder="1" applyAlignment="1">
      <alignment horizontal="left" vertical="center"/>
    </xf>
    <xf numFmtId="0" fontId="87" fillId="0" borderId="10" xfId="2" applyFont="1" applyBorder="1" applyAlignment="1">
      <alignment horizontal="left" vertical="center"/>
    </xf>
    <xf numFmtId="0" fontId="87" fillId="0" borderId="19" xfId="2" applyFont="1" applyBorder="1" applyAlignment="1">
      <alignment horizontal="left" vertical="center"/>
    </xf>
    <xf numFmtId="0" fontId="87" fillId="0" borderId="64" xfId="2" applyFont="1" applyBorder="1" applyAlignment="1">
      <alignment horizontal="left" vertical="center"/>
    </xf>
    <xf numFmtId="0" fontId="129" fillId="0" borderId="12" xfId="2" applyFont="1" applyBorder="1" applyAlignment="1">
      <alignment horizontal="left" vertical="center"/>
    </xf>
    <xf numFmtId="0" fontId="129" fillId="0" borderId="37" xfId="2" applyFont="1" applyBorder="1" applyAlignment="1">
      <alignment horizontal="left" vertical="center"/>
    </xf>
    <xf numFmtId="0" fontId="62" fillId="0" borderId="10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2" fillId="0" borderId="64" xfId="0" applyFont="1" applyBorder="1" applyAlignment="1">
      <alignment horizontal="center"/>
    </xf>
    <xf numFmtId="0" fontId="62" fillId="0" borderId="218" xfId="0" applyFont="1" applyBorder="1" applyAlignment="1">
      <alignment horizontal="center"/>
    </xf>
    <xf numFmtId="0" fontId="62" fillId="0" borderId="219" xfId="0" applyFont="1" applyBorder="1" applyAlignment="1">
      <alignment horizontal="center"/>
    </xf>
    <xf numFmtId="0" fontId="62" fillId="0" borderId="161" xfId="0" applyFont="1" applyBorder="1" applyAlignment="1">
      <alignment horizontal="center"/>
    </xf>
    <xf numFmtId="0" fontId="131" fillId="0" borderId="11" xfId="0" applyFont="1" applyBorder="1" applyAlignment="1">
      <alignment horizontal="center"/>
    </xf>
    <xf numFmtId="0" fontId="131" fillId="0" borderId="2" xfId="0" applyFont="1" applyBorder="1" applyAlignment="1">
      <alignment horizontal="center"/>
    </xf>
    <xf numFmtId="0" fontId="131" fillId="0" borderId="47" xfId="0" applyFont="1" applyBorder="1" applyAlignment="1">
      <alignment horizontal="center"/>
    </xf>
    <xf numFmtId="0" fontId="131" fillId="0" borderId="18" xfId="0" applyFont="1" applyBorder="1" applyAlignment="1">
      <alignment horizontal="center"/>
    </xf>
    <xf numFmtId="0" fontId="131" fillId="0" borderId="1" xfId="0" applyFont="1" applyBorder="1" applyAlignment="1">
      <alignment horizontal="center"/>
    </xf>
    <xf numFmtId="0" fontId="131" fillId="0" borderId="55" xfId="0" applyFont="1" applyBorder="1" applyAlignment="1">
      <alignment horizontal="center"/>
    </xf>
    <xf numFmtId="0" fontId="84" fillId="17" borderId="11" xfId="2" applyFont="1" applyFill="1" applyBorder="1" applyAlignment="1">
      <alignment horizontal="center" vertical="center" wrapText="1"/>
    </xf>
    <xf numFmtId="0" fontId="84" fillId="17" borderId="2" xfId="2" applyFont="1" applyFill="1" applyBorder="1" applyAlignment="1">
      <alignment horizontal="center" vertical="center" wrapText="1"/>
    </xf>
    <xf numFmtId="0" fontId="84" fillId="17" borderId="47" xfId="2" applyFont="1" applyFill="1" applyBorder="1" applyAlignment="1">
      <alignment horizontal="center" vertical="center" wrapText="1"/>
    </xf>
    <xf numFmtId="0" fontId="84" fillId="17" borderId="18" xfId="2" applyFont="1" applyFill="1" applyBorder="1" applyAlignment="1">
      <alignment horizontal="center" vertical="center" wrapText="1"/>
    </xf>
    <xf numFmtId="0" fontId="84" fillId="17" borderId="1" xfId="2" applyFont="1" applyFill="1" applyBorder="1" applyAlignment="1">
      <alignment horizontal="center" vertical="center" wrapText="1"/>
    </xf>
    <xf numFmtId="0" fontId="84" fillId="17" borderId="55" xfId="2" applyFont="1" applyFill="1" applyBorder="1" applyAlignment="1">
      <alignment horizontal="center" vertical="center" wrapText="1"/>
    </xf>
    <xf numFmtId="0" fontId="41" fillId="0" borderId="2" xfId="2" applyFont="1" applyBorder="1" applyAlignment="1">
      <alignment horizontal="center" vertical="center"/>
    </xf>
    <xf numFmtId="0" fontId="38" fillId="0" borderId="218" xfId="2" applyFont="1" applyBorder="1" applyAlignment="1">
      <alignment horizontal="left" vertical="center"/>
    </xf>
    <xf numFmtId="0" fontId="38" fillId="0" borderId="219" xfId="2" applyFont="1" applyBorder="1" applyAlignment="1">
      <alignment horizontal="left" vertical="center"/>
    </xf>
    <xf numFmtId="0" fontId="38" fillId="0" borderId="161" xfId="2" applyFont="1" applyBorder="1" applyAlignment="1">
      <alignment horizontal="left" vertical="center"/>
    </xf>
    <xf numFmtId="0" fontId="128" fillId="0" borderId="10" xfId="2" applyFont="1" applyBorder="1" applyAlignment="1">
      <alignment horizontal="left" vertical="center"/>
    </xf>
    <xf numFmtId="0" fontId="128" fillId="0" borderId="19" xfId="2" applyFont="1" applyBorder="1" applyAlignment="1">
      <alignment horizontal="left" vertical="center"/>
    </xf>
    <xf numFmtId="0" fontId="128" fillId="0" borderId="64" xfId="2" applyFont="1" applyBorder="1" applyAlignment="1">
      <alignment horizontal="left" vertical="center"/>
    </xf>
    <xf numFmtId="0" fontId="41" fillId="0" borderId="4" xfId="2" applyFont="1" applyBorder="1" applyAlignment="1">
      <alignment horizontal="left" vertical="center"/>
    </xf>
    <xf numFmtId="0" fontId="41" fillId="17" borderId="4" xfId="2" applyFont="1" applyFill="1" applyBorder="1" applyAlignment="1">
      <alignment vertical="center" wrapText="1"/>
    </xf>
    <xf numFmtId="0" fontId="133" fillId="0" borderId="19" xfId="2" applyFont="1" applyBorder="1" applyAlignment="1">
      <alignment horizontal="left" vertical="center"/>
    </xf>
    <xf numFmtId="0" fontId="38" fillId="0" borderId="8" xfId="2" applyFont="1" applyBorder="1" applyAlignment="1">
      <alignment horizontal="center"/>
    </xf>
    <xf numFmtId="0" fontId="38" fillId="0" borderId="8" xfId="2" applyFont="1" applyBorder="1" applyAlignment="1">
      <alignment horizontal="center" vertical="center"/>
    </xf>
    <xf numFmtId="0" fontId="38" fillId="0" borderId="2" xfId="2" applyFont="1" applyBorder="1" applyAlignment="1">
      <alignment horizontal="left" vertical="center"/>
    </xf>
    <xf numFmtId="0" fontId="41" fillId="0" borderId="4" xfId="2" applyFont="1" applyBorder="1" applyAlignment="1">
      <alignment horizontal="left" vertical="center" shrinkToFit="1"/>
    </xf>
    <xf numFmtId="0" fontId="41" fillId="17" borderId="4" xfId="2" applyFont="1" applyFill="1" applyBorder="1" applyAlignment="1">
      <alignment horizontal="left" vertical="center"/>
    </xf>
    <xf numFmtId="0" fontId="69" fillId="0" borderId="8" xfId="2" applyFont="1" applyBorder="1" applyAlignment="1">
      <alignment horizontal="center" vertical="center"/>
    </xf>
    <xf numFmtId="49" fontId="128" fillId="17" borderId="2" xfId="2" applyNumberFormat="1" applyFont="1" applyFill="1" applyBorder="1" applyAlignment="1">
      <alignment horizontal="center" vertical="center"/>
    </xf>
    <xf numFmtId="49" fontId="128" fillId="17" borderId="0" xfId="2" applyNumberFormat="1" applyFont="1" applyFill="1" applyAlignment="1">
      <alignment horizontal="center" vertical="center"/>
    </xf>
    <xf numFmtId="0" fontId="87" fillId="0" borderId="10" xfId="2" applyFont="1" applyBorder="1" applyAlignment="1">
      <alignment horizontal="left" vertical="center" shrinkToFit="1"/>
    </xf>
    <xf numFmtId="0" fontId="87" fillId="0" borderId="19" xfId="2" applyFont="1" applyBorder="1" applyAlignment="1">
      <alignment horizontal="left" vertical="center" shrinkToFit="1"/>
    </xf>
    <xf numFmtId="0" fontId="87" fillId="0" borderId="64" xfId="2" applyFont="1" applyBorder="1" applyAlignment="1">
      <alignment horizontal="left" vertical="center" shrinkToFit="1"/>
    </xf>
    <xf numFmtId="0" fontId="87" fillId="0" borderId="218" xfId="2" applyFont="1" applyBorder="1"/>
    <xf numFmtId="0" fontId="87" fillId="0" borderId="219" xfId="2" applyFont="1" applyBorder="1"/>
    <xf numFmtId="0" fontId="87" fillId="0" borderId="161" xfId="2" applyFont="1" applyBorder="1"/>
    <xf numFmtId="0" fontId="128" fillId="21" borderId="10" xfId="2" applyFont="1" applyFill="1" applyBorder="1" applyAlignment="1">
      <alignment horizontal="left"/>
    </xf>
    <xf numFmtId="0" fontId="128" fillId="21" borderId="19" xfId="2" applyFont="1" applyFill="1" applyBorder="1" applyAlignment="1">
      <alignment horizontal="left"/>
    </xf>
    <xf numFmtId="0" fontId="128" fillId="21" borderId="64" xfId="2" applyFont="1" applyFill="1" applyBorder="1" applyAlignment="1">
      <alignment horizontal="left"/>
    </xf>
    <xf numFmtId="0" fontId="75" fillId="24" borderId="113" xfId="2" applyFont="1" applyFill="1" applyBorder="1" applyAlignment="1">
      <alignment horizontal="center"/>
    </xf>
    <xf numFmtId="0" fontId="75" fillId="24" borderId="114" xfId="2" applyFont="1" applyFill="1" applyBorder="1" applyAlignment="1">
      <alignment horizontal="center"/>
    </xf>
    <xf numFmtId="0" fontId="75" fillId="24" borderId="115" xfId="2" applyFont="1" applyFill="1" applyBorder="1" applyAlignment="1">
      <alignment horizontal="center"/>
    </xf>
    <xf numFmtId="0" fontId="38" fillId="0" borderId="2" xfId="2" applyFont="1" applyBorder="1" applyAlignment="1">
      <alignment horizontal="left"/>
    </xf>
    <xf numFmtId="0" fontId="41" fillId="23" borderId="4" xfId="2" applyFont="1" applyFill="1" applyBorder="1" applyAlignment="1">
      <alignment horizontal="left" vertical="center" shrinkToFit="1"/>
    </xf>
    <xf numFmtId="0" fontId="128" fillId="21" borderId="113" xfId="2" applyFont="1" applyFill="1" applyBorder="1" applyAlignment="1">
      <alignment horizontal="center" vertical="center"/>
    </xf>
    <xf numFmtId="0" fontId="128" fillId="21" borderId="114" xfId="2" applyFont="1" applyFill="1" applyBorder="1" applyAlignment="1">
      <alignment horizontal="center" vertical="center"/>
    </xf>
    <xf numFmtId="0" fontId="128" fillId="21" borderId="115" xfId="2" applyFont="1" applyFill="1" applyBorder="1" applyAlignment="1">
      <alignment horizontal="center" vertical="center"/>
    </xf>
    <xf numFmtId="0" fontId="31" fillId="0" borderId="2" xfId="2" applyFont="1" applyBorder="1" applyAlignment="1">
      <alignment horizontal="center" vertical="center" wrapText="1"/>
    </xf>
    <xf numFmtId="0" fontId="31" fillId="0" borderId="47" xfId="2" applyFont="1" applyBorder="1" applyAlignment="1">
      <alignment horizontal="center" vertical="center" wrapText="1"/>
    </xf>
    <xf numFmtId="0" fontId="31" fillId="0" borderId="0" xfId="2" applyFont="1" applyAlignment="1">
      <alignment horizontal="center" vertical="center" wrapText="1"/>
    </xf>
    <xf numFmtId="0" fontId="31" fillId="0" borderId="37" xfId="2" applyFont="1" applyBorder="1" applyAlignment="1">
      <alignment horizontal="center" vertical="center" wrapText="1"/>
    </xf>
    <xf numFmtId="0" fontId="41" fillId="23" borderId="2" xfId="2" applyFont="1" applyFill="1" applyBorder="1" applyAlignment="1">
      <alignment horizontal="left" vertical="center" shrinkToFit="1"/>
    </xf>
    <xf numFmtId="0" fontId="75" fillId="21" borderId="113" xfId="2" applyFont="1" applyFill="1" applyBorder="1" applyAlignment="1">
      <alignment horizontal="center" vertical="center"/>
    </xf>
    <xf numFmtId="0" fontId="75" fillId="21" borderId="114" xfId="2" applyFont="1" applyFill="1" applyBorder="1" applyAlignment="1">
      <alignment horizontal="center" vertical="center"/>
    </xf>
    <xf numFmtId="0" fontId="75" fillId="21" borderId="115" xfId="2" applyFont="1" applyFill="1" applyBorder="1" applyAlignment="1">
      <alignment horizontal="center" vertical="center"/>
    </xf>
    <xf numFmtId="0" fontId="31" fillId="0" borderId="10" xfId="2" applyFont="1" applyBorder="1" applyAlignment="1">
      <alignment horizontal="center" vertical="center"/>
    </xf>
    <xf numFmtId="0" fontId="31" fillId="0" borderId="19" xfId="2" applyFont="1" applyBorder="1" applyAlignment="1">
      <alignment horizontal="center" vertical="center"/>
    </xf>
    <xf numFmtId="0" fontId="31" fillId="0" borderId="64" xfId="2" applyFont="1" applyBorder="1" applyAlignment="1">
      <alignment horizontal="center" vertical="center"/>
    </xf>
    <xf numFmtId="0" fontId="85" fillId="22" borderId="4" xfId="2" applyFont="1" applyFill="1" applyBorder="1" applyAlignment="1">
      <alignment horizontal="left" vertical="center" shrinkToFit="1"/>
    </xf>
    <xf numFmtId="0" fontId="129" fillId="0" borderId="118" xfId="2" applyFont="1" applyBorder="1" applyAlignment="1">
      <alignment horizontal="left" vertical="center"/>
    </xf>
    <xf numFmtId="0" fontId="77" fillId="21" borderId="113" xfId="2" applyFont="1" applyFill="1" applyBorder="1" applyAlignment="1">
      <alignment horizontal="center"/>
    </xf>
    <xf numFmtId="0" fontId="77" fillId="21" borderId="114" xfId="2" applyFont="1" applyFill="1" applyBorder="1" applyAlignment="1">
      <alignment horizontal="center"/>
    </xf>
    <xf numFmtId="0" fontId="77" fillId="21" borderId="115" xfId="2" applyFont="1" applyFill="1" applyBorder="1" applyAlignment="1">
      <alignment horizontal="center"/>
    </xf>
    <xf numFmtId="0" fontId="41" fillId="22" borderId="4" xfId="2" applyFont="1" applyFill="1" applyBorder="1" applyAlignment="1">
      <alignment horizontal="center" vertical="center" shrinkToFit="1"/>
    </xf>
    <xf numFmtId="3" fontId="127" fillId="0" borderId="218" xfId="2" applyNumberFormat="1" applyFont="1" applyBorder="1" applyAlignment="1">
      <alignment horizontal="right"/>
    </xf>
    <xf numFmtId="3" fontId="127" fillId="0" borderId="161" xfId="2" applyNumberFormat="1" applyFont="1" applyBorder="1" applyAlignment="1">
      <alignment horizontal="right"/>
    </xf>
    <xf numFmtId="3" fontId="77" fillId="21" borderId="114" xfId="2" applyNumberFormat="1" applyFont="1" applyFill="1" applyBorder="1" applyAlignment="1">
      <alignment horizontal="right"/>
    </xf>
    <xf numFmtId="3" fontId="77" fillId="21" borderId="115" xfId="2" applyNumberFormat="1" applyFont="1" applyFill="1" applyBorder="1" applyAlignment="1">
      <alignment horizontal="right"/>
    </xf>
    <xf numFmtId="0" fontId="38" fillId="0" borderId="12" xfId="2" applyFont="1" applyBorder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0" borderId="37" xfId="2" applyFont="1" applyBorder="1" applyAlignment="1">
      <alignment horizontal="center" vertical="center"/>
    </xf>
    <xf numFmtId="0" fontId="38" fillId="0" borderId="122" xfId="2" applyFont="1" applyBorder="1" applyAlignment="1">
      <alignment horizontal="center" vertical="center"/>
    </xf>
    <xf numFmtId="0" fontId="38" fillId="0" borderId="120" xfId="2" applyFont="1" applyBorder="1" applyAlignment="1">
      <alignment horizontal="center" vertical="center"/>
    </xf>
    <xf numFmtId="0" fontId="38" fillId="0" borderId="121" xfId="2" applyFont="1" applyBorder="1" applyAlignment="1">
      <alignment horizontal="center" vertical="center"/>
    </xf>
    <xf numFmtId="0" fontId="31" fillId="0" borderId="113" xfId="2" applyFont="1" applyBorder="1" applyAlignment="1">
      <alignment horizontal="center"/>
    </xf>
    <xf numFmtId="0" fontId="31" fillId="0" borderId="114" xfId="2" applyFont="1" applyBorder="1" applyAlignment="1">
      <alignment horizontal="center"/>
    </xf>
    <xf numFmtId="0" fontId="31" fillId="0" borderId="115" xfId="2" applyFont="1" applyBorder="1" applyAlignment="1">
      <alignment horizontal="center"/>
    </xf>
    <xf numFmtId="0" fontId="80" fillId="21" borderId="113" xfId="2" applyFont="1" applyFill="1" applyBorder="1" applyAlignment="1">
      <alignment horizontal="center" vertical="center" shrinkToFit="1"/>
    </xf>
    <xf numFmtId="0" fontId="80" fillId="21" borderId="114" xfId="2" applyFont="1" applyFill="1" applyBorder="1" applyAlignment="1">
      <alignment horizontal="center" vertical="center" shrinkToFit="1"/>
    </xf>
    <xf numFmtId="0" fontId="80" fillId="21" borderId="115" xfId="2" applyFont="1" applyFill="1" applyBorder="1" applyAlignment="1">
      <alignment horizontal="center" vertical="center" shrinkToFit="1"/>
    </xf>
    <xf numFmtId="0" fontId="41" fillId="22" borderId="57" xfId="2" applyFont="1" applyFill="1" applyBorder="1" applyAlignment="1">
      <alignment horizontal="center" vertical="center" shrinkToFit="1"/>
    </xf>
    <xf numFmtId="0" fontId="41" fillId="22" borderId="58" xfId="2" applyFont="1" applyFill="1" applyBorder="1" applyAlignment="1">
      <alignment horizontal="center" vertical="center" shrinkToFit="1"/>
    </xf>
    <xf numFmtId="0" fontId="41" fillId="22" borderId="119" xfId="2" applyFont="1" applyFill="1" applyBorder="1" applyAlignment="1">
      <alignment horizontal="center" vertical="center" shrinkToFit="1"/>
    </xf>
    <xf numFmtId="0" fontId="138" fillId="20" borderId="4" xfId="2" applyFont="1" applyFill="1" applyBorder="1" applyAlignment="1">
      <alignment horizontal="left" vertical="center" shrinkToFit="1"/>
    </xf>
    <xf numFmtId="0" fontId="86" fillId="25" borderId="2" xfId="2" applyFont="1" applyFill="1" applyBorder="1" applyAlignment="1">
      <alignment horizontal="center" vertical="center" shrinkToFit="1"/>
    </xf>
    <xf numFmtId="0" fontId="38" fillId="0" borderId="0" xfId="2" applyFont="1"/>
    <xf numFmtId="0" fontId="38" fillId="0" borderId="1" xfId="2" applyFont="1" applyBorder="1" applyAlignment="1">
      <alignment horizontal="left"/>
    </xf>
    <xf numFmtId="0" fontId="141" fillId="0" borderId="11" xfId="2" applyFont="1" applyBorder="1" applyAlignment="1">
      <alignment horizontal="left" vertical="center"/>
    </xf>
    <xf numFmtId="0" fontId="141" fillId="0" borderId="2" xfId="2" applyFont="1" applyBorder="1" applyAlignment="1">
      <alignment horizontal="left" vertical="center"/>
    </xf>
    <xf numFmtId="0" fontId="141" fillId="0" borderId="47" xfId="2" applyFont="1" applyBorder="1" applyAlignment="1">
      <alignment horizontal="left" vertical="center"/>
    </xf>
    <xf numFmtId="0" fontId="141" fillId="0" borderId="18" xfId="2" applyFont="1" applyBorder="1" applyAlignment="1">
      <alignment horizontal="left" vertical="center"/>
    </xf>
    <xf numFmtId="0" fontId="141" fillId="0" borderId="1" xfId="2" applyFont="1" applyBorder="1" applyAlignment="1">
      <alignment horizontal="left" vertical="center"/>
    </xf>
    <xf numFmtId="0" fontId="141" fillId="0" borderId="55" xfId="2" applyFont="1" applyBorder="1" applyAlignment="1">
      <alignment horizontal="left" vertical="center"/>
    </xf>
    <xf numFmtId="0" fontId="38" fillId="0" borderId="11" xfId="2" applyFont="1" applyBorder="1" applyAlignment="1">
      <alignment horizontal="center"/>
    </xf>
    <xf numFmtId="0" fontId="38" fillId="0" borderId="12" xfId="2" applyFont="1" applyBorder="1" applyAlignment="1">
      <alignment horizontal="center"/>
    </xf>
    <xf numFmtId="0" fontId="38" fillId="0" borderId="18" xfId="2" applyFont="1" applyBorder="1" applyAlignment="1">
      <alignment horizontal="center"/>
    </xf>
    <xf numFmtId="3" fontId="44" fillId="21" borderId="10" xfId="2" applyNumberFormat="1" applyFont="1" applyFill="1" applyBorder="1" applyAlignment="1">
      <alignment horizontal="center"/>
    </xf>
    <xf numFmtId="3" fontId="44" fillId="21" borderId="19" xfId="2" applyNumberFormat="1" applyFont="1" applyFill="1" applyBorder="1" applyAlignment="1">
      <alignment horizontal="center"/>
    </xf>
    <xf numFmtId="3" fontId="44" fillId="21" borderId="64" xfId="2" applyNumberFormat="1" applyFont="1" applyFill="1" applyBorder="1" applyAlignment="1">
      <alignment horizontal="center"/>
    </xf>
    <xf numFmtId="0" fontId="41" fillId="26" borderId="4" xfId="2" applyFont="1" applyFill="1" applyBorder="1" applyAlignment="1">
      <alignment horizontal="left" vertical="center" shrinkToFit="1"/>
    </xf>
    <xf numFmtId="0" fontId="38" fillId="0" borderId="118" xfId="2" applyFont="1" applyBorder="1" applyAlignment="1">
      <alignment horizontal="left" shrinkToFit="1"/>
    </xf>
    <xf numFmtId="0" fontId="38" fillId="0" borderId="0" xfId="2" applyFont="1" applyAlignment="1">
      <alignment horizontal="left" wrapText="1"/>
    </xf>
    <xf numFmtId="0" fontId="90" fillId="17" borderId="1" xfId="2" applyFont="1" applyFill="1" applyBorder="1" applyAlignment="1">
      <alignment horizontal="center" vertical="center"/>
    </xf>
    <xf numFmtId="0" fontId="33" fillId="0" borderId="0" xfId="3" applyFont="1" applyAlignment="1">
      <alignment horizontal="center" vertical="center"/>
    </xf>
    <xf numFmtId="0" fontId="9" fillId="21" borderId="51" xfId="3" applyFont="1" applyFill="1" applyBorder="1" applyAlignment="1">
      <alignment horizontal="center" vertical="center" wrapText="1"/>
    </xf>
    <xf numFmtId="0" fontId="9" fillId="21" borderId="96" xfId="3" applyFont="1" applyFill="1" applyBorder="1" applyAlignment="1">
      <alignment horizontal="center" vertical="center" wrapText="1"/>
    </xf>
    <xf numFmtId="0" fontId="4" fillId="21" borderId="149" xfId="3" applyFont="1" applyFill="1" applyBorder="1" applyAlignment="1">
      <alignment horizontal="center" vertical="center" wrapText="1"/>
    </xf>
    <xf numFmtId="0" fontId="4" fillId="21" borderId="150" xfId="3" applyFont="1" applyFill="1" applyBorder="1" applyAlignment="1">
      <alignment horizontal="center" vertical="center" wrapText="1"/>
    </xf>
    <xf numFmtId="5" fontId="45" fillId="16" borderId="50" xfId="3" applyNumberFormat="1" applyFont="1" applyFill="1" applyBorder="1" applyAlignment="1">
      <alignment horizontal="left" vertical="top" wrapText="1"/>
    </xf>
    <xf numFmtId="5" fontId="45" fillId="16" borderId="0" xfId="3" applyNumberFormat="1" applyFont="1" applyFill="1" applyAlignment="1">
      <alignment horizontal="left" vertical="top" wrapText="1"/>
    </xf>
    <xf numFmtId="0" fontId="10" fillId="16" borderId="145" xfId="3" applyFont="1" applyFill="1" applyBorder="1" applyAlignment="1">
      <alignment horizontal="left" vertical="center"/>
    </xf>
    <xf numFmtId="0" fontId="10" fillId="16" borderId="146" xfId="3" applyFont="1" applyFill="1" applyBorder="1" applyAlignment="1">
      <alignment horizontal="left" vertical="center"/>
    </xf>
    <xf numFmtId="0" fontId="10" fillId="16" borderId="151" xfId="3" applyFont="1" applyFill="1" applyBorder="1" applyAlignment="1">
      <alignment horizontal="left" vertical="center"/>
    </xf>
    <xf numFmtId="0" fontId="5" fillId="0" borderId="29" xfId="3" applyFont="1" applyBorder="1" applyAlignment="1">
      <alignment horizontal="center" vertical="center"/>
    </xf>
    <xf numFmtId="0" fontId="5" fillId="0" borderId="93" xfId="3" applyFont="1" applyBorder="1" applyAlignment="1">
      <alignment horizontal="center" vertical="center"/>
    </xf>
    <xf numFmtId="0" fontId="5" fillId="0" borderId="51" xfId="3" applyFont="1" applyBorder="1" applyAlignment="1">
      <alignment horizontal="center" vertical="center" wrapText="1"/>
    </xf>
    <xf numFmtId="0" fontId="5" fillId="0" borderId="38" xfId="3" applyFont="1" applyBorder="1" applyAlignment="1">
      <alignment horizontal="center" vertical="center" wrapText="1"/>
    </xf>
    <xf numFmtId="0" fontId="5" fillId="35" borderId="45" xfId="3" applyFont="1" applyFill="1" applyBorder="1" applyAlignment="1">
      <alignment horizontal="center" vertical="center" wrapText="1"/>
    </xf>
    <xf numFmtId="0" fontId="5" fillId="35" borderId="103" xfId="3" applyFont="1" applyFill="1" applyBorder="1" applyAlignment="1">
      <alignment horizontal="center" vertical="center" wrapText="1"/>
    </xf>
    <xf numFmtId="0" fontId="45" fillId="36" borderId="45" xfId="3" applyFont="1" applyFill="1" applyBorder="1" applyAlignment="1">
      <alignment horizontal="center" vertical="center" wrapText="1"/>
    </xf>
    <xf numFmtId="0" fontId="45" fillId="36" borderId="54" xfId="3" applyFont="1" applyFill="1" applyBorder="1" applyAlignment="1">
      <alignment horizontal="center" vertical="center" wrapText="1"/>
    </xf>
    <xf numFmtId="0" fontId="25" fillId="0" borderId="104" xfId="3" applyFont="1" applyBorder="1" applyAlignment="1">
      <alignment horizontal="center" vertical="center" wrapText="1"/>
    </xf>
    <xf numFmtId="0" fontId="25" fillId="0" borderId="106" xfId="3" applyFont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0" fillId="19" borderId="40" xfId="3" applyFont="1" applyFill="1" applyBorder="1" applyAlignment="1">
      <alignment horizontal="center" vertical="center"/>
    </xf>
    <xf numFmtId="0" fontId="10" fillId="19" borderId="95" xfId="3" applyFont="1" applyFill="1" applyBorder="1" applyAlignment="1">
      <alignment horizontal="center" vertical="center"/>
    </xf>
    <xf numFmtId="0" fontId="10" fillId="19" borderId="41" xfId="3" applyFont="1" applyFill="1" applyBorder="1" applyAlignment="1">
      <alignment horizontal="center" vertical="center"/>
    </xf>
    <xf numFmtId="175" fontId="5" fillId="0" borderId="104" xfId="3" applyNumberFormat="1" applyFont="1" applyBorder="1" applyAlignment="1">
      <alignment horizontal="center" vertical="center" wrapText="1"/>
    </xf>
    <xf numFmtId="175" fontId="5" fillId="0" borderId="105" xfId="3" applyNumberFormat="1" applyFont="1" applyBorder="1" applyAlignment="1">
      <alignment horizontal="center" vertical="center" wrapText="1"/>
    </xf>
    <xf numFmtId="175" fontId="5" fillId="0" borderId="148" xfId="3" applyNumberFormat="1" applyFont="1" applyBorder="1" applyAlignment="1">
      <alignment horizontal="center" vertical="center" wrapText="1"/>
    </xf>
    <xf numFmtId="0" fontId="4" fillId="0" borderId="153" xfId="3" applyFont="1" applyBorder="1" applyAlignment="1">
      <alignment horizontal="center" vertical="center" wrapText="1"/>
    </xf>
    <xf numFmtId="0" fontId="4" fillId="0" borderId="91" xfId="3" applyFont="1" applyBorder="1" applyAlignment="1">
      <alignment horizontal="center" vertical="center" wrapText="1"/>
    </xf>
    <xf numFmtId="0" fontId="4" fillId="0" borderId="109" xfId="3" applyFont="1" applyBorder="1" applyAlignment="1">
      <alignment horizontal="center" vertical="center" wrapText="1"/>
    </xf>
    <xf numFmtId="0" fontId="4" fillId="0" borderId="135" xfId="3" applyFont="1" applyBorder="1" applyAlignment="1">
      <alignment horizontal="center" vertical="center" wrapText="1"/>
    </xf>
    <xf numFmtId="0" fontId="4" fillId="0" borderId="136" xfId="3" applyFont="1" applyBorder="1" applyAlignment="1">
      <alignment horizontal="center" vertical="center" wrapText="1"/>
    </xf>
    <xf numFmtId="0" fontId="4" fillId="0" borderId="12" xfId="3" applyFont="1" applyBorder="1" applyAlignment="1">
      <alignment horizontal="center" vertical="center" wrapText="1"/>
    </xf>
    <xf numFmtId="0" fontId="4" fillId="0" borderId="37" xfId="3" applyFont="1" applyBorder="1" applyAlignment="1">
      <alignment horizontal="center" vertical="center" wrapText="1"/>
    </xf>
    <xf numFmtId="0" fontId="4" fillId="0" borderId="100" xfId="3" applyFont="1" applyBorder="1" applyAlignment="1">
      <alignment horizontal="center" vertical="center" wrapText="1"/>
    </xf>
    <xf numFmtId="0" fontId="4" fillId="0" borderId="101" xfId="3" applyFont="1" applyBorder="1" applyAlignment="1">
      <alignment horizontal="center" vertical="center" wrapText="1"/>
    </xf>
    <xf numFmtId="0" fontId="2" fillId="0" borderId="153" xfId="3" applyFont="1" applyBorder="1" applyAlignment="1">
      <alignment horizontal="center" vertical="center" wrapText="1"/>
    </xf>
    <xf numFmtId="0" fontId="2" fillId="0" borderId="93" xfId="3" applyFont="1" applyBorder="1" applyAlignment="1">
      <alignment horizontal="center" vertical="center" wrapText="1"/>
    </xf>
    <xf numFmtId="0" fontId="9" fillId="0" borderId="137" xfId="3" applyFont="1" applyBorder="1" applyAlignment="1">
      <alignment horizontal="center" vertical="center" wrapText="1"/>
    </xf>
    <xf numFmtId="0" fontId="9" fillId="0" borderId="38" xfId="3" applyFont="1" applyBorder="1" applyAlignment="1">
      <alignment horizontal="center" vertical="center" wrapText="1"/>
    </xf>
    <xf numFmtId="0" fontId="9" fillId="16" borderId="83" xfId="3" applyFont="1" applyFill="1" applyBorder="1" applyAlignment="1">
      <alignment horizontal="center" vertical="center" wrapText="1"/>
    </xf>
    <xf numFmtId="0" fontId="9" fillId="16" borderId="82" xfId="3" applyFont="1" applyFill="1" applyBorder="1" applyAlignment="1">
      <alignment horizontal="center" vertical="center" wrapText="1"/>
    </xf>
    <xf numFmtId="0" fontId="9" fillId="16" borderId="150" xfId="3" applyFont="1" applyFill="1" applyBorder="1" applyAlignment="1">
      <alignment horizontal="center" vertical="center" wrapText="1"/>
    </xf>
    <xf numFmtId="0" fontId="9" fillId="16" borderId="22" xfId="3" applyFont="1" applyFill="1" applyBorder="1" applyAlignment="1">
      <alignment horizontal="center" vertical="center" wrapText="1"/>
    </xf>
    <xf numFmtId="0" fontId="9" fillId="16" borderId="95" xfId="3" applyFont="1" applyFill="1" applyBorder="1" applyAlignment="1">
      <alignment horizontal="center" vertical="center" wrapText="1"/>
    </xf>
    <xf numFmtId="0" fontId="9" fillId="16" borderId="26" xfId="3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21" fillId="0" borderId="0" xfId="0" applyFont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5" fillId="0" borderId="104" xfId="0" applyFont="1" applyBorder="1" applyAlignment="1">
      <alignment horizontal="center" vertical="center" wrapText="1"/>
    </xf>
    <xf numFmtId="0" fontId="5" fillId="0" borderId="1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174" fontId="5" fillId="0" borderId="17" xfId="0" applyNumberFormat="1" applyFont="1" applyBorder="1" applyAlignment="1">
      <alignment horizontal="center" vertical="center"/>
    </xf>
    <xf numFmtId="174" fontId="5" fillId="0" borderId="61" xfId="0" applyNumberFormat="1" applyFont="1" applyBorder="1" applyAlignment="1">
      <alignment horizontal="center" vertical="center"/>
    </xf>
    <xf numFmtId="0" fontId="45" fillId="0" borderId="78" xfId="0" applyFont="1" applyBorder="1" applyAlignment="1">
      <alignment horizontal="center" vertical="center" wrapText="1"/>
    </xf>
    <xf numFmtId="0" fontId="45" fillId="0" borderId="97" xfId="0" applyFont="1" applyBorder="1" applyAlignment="1">
      <alignment horizontal="center" vertical="center" wrapText="1"/>
    </xf>
    <xf numFmtId="0" fontId="4" fillId="0" borderId="139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40" xfId="0" applyFont="1" applyBorder="1" applyAlignment="1">
      <alignment horizontal="left" vertical="center"/>
    </xf>
    <xf numFmtId="0" fontId="9" fillId="0" borderId="1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5" fillId="19" borderId="40" xfId="0" applyFont="1" applyFill="1" applyBorder="1" applyAlignment="1">
      <alignment horizontal="right" vertical="center"/>
    </xf>
    <xf numFmtId="0" fontId="5" fillId="19" borderId="26" xfId="0" applyFont="1" applyFill="1" applyBorder="1" applyAlignment="1">
      <alignment horizontal="right" vertical="center"/>
    </xf>
    <xf numFmtId="0" fontId="5" fillId="34" borderId="40" xfId="0" applyFont="1" applyFill="1" applyBorder="1" applyAlignment="1">
      <alignment horizontal="center" vertical="center"/>
    </xf>
    <xf numFmtId="0" fontId="5" fillId="34" borderId="95" xfId="0" applyFont="1" applyFill="1" applyBorder="1" applyAlignment="1">
      <alignment horizontal="center" vertical="center"/>
    </xf>
    <xf numFmtId="0" fontId="5" fillId="34" borderId="41" xfId="0" applyFont="1" applyFill="1" applyBorder="1" applyAlignment="1">
      <alignment horizontal="center" vertical="center"/>
    </xf>
    <xf numFmtId="174" fontId="5" fillId="34" borderId="40" xfId="0" applyNumberFormat="1" applyFont="1" applyFill="1" applyBorder="1" applyAlignment="1">
      <alignment horizontal="center" vertical="center"/>
    </xf>
    <xf numFmtId="174" fontId="5" fillId="34" borderId="41" xfId="0" applyNumberFormat="1" applyFont="1" applyFill="1" applyBorder="1" applyAlignment="1">
      <alignment horizontal="center" vertical="center"/>
    </xf>
    <xf numFmtId="175" fontId="45" fillId="34" borderId="40" xfId="0" applyNumberFormat="1" applyFont="1" applyFill="1" applyBorder="1" applyAlignment="1">
      <alignment horizontal="center" vertical="center" wrapText="1"/>
    </xf>
    <xf numFmtId="175" fontId="45" fillId="34" borderId="95" xfId="0" applyNumberFormat="1" applyFont="1" applyFill="1" applyBorder="1" applyAlignment="1">
      <alignment horizontal="center" vertical="center" wrapText="1"/>
    </xf>
    <xf numFmtId="175" fontId="45" fillId="34" borderId="41" xfId="0" applyNumberFormat="1" applyFont="1" applyFill="1" applyBorder="1" applyAlignment="1">
      <alignment horizontal="center" vertical="center" wrapText="1"/>
    </xf>
    <xf numFmtId="0" fontId="47" fillId="0" borderId="79" xfId="0" applyFont="1" applyBorder="1" applyAlignment="1">
      <alignment horizontal="center" vertical="center" wrapText="1"/>
    </xf>
    <xf numFmtId="0" fontId="47" fillId="0" borderId="100" xfId="0" applyFont="1" applyBorder="1" applyAlignment="1">
      <alignment horizontal="center" vertical="center" wrapText="1"/>
    </xf>
    <xf numFmtId="0" fontId="5" fillId="0" borderId="109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43" fillId="0" borderId="96" xfId="0" applyFont="1" applyBorder="1" applyAlignment="1">
      <alignment vertical="center" wrapText="1"/>
    </xf>
    <xf numFmtId="0" fontId="5" fillId="0" borderId="96" xfId="0" applyFont="1" applyBorder="1" applyAlignment="1">
      <alignment horizontal="center" vertical="center" wrapText="1"/>
    </xf>
    <xf numFmtId="0" fontId="47" fillId="0" borderId="51" xfId="0" applyFont="1" applyBorder="1" applyAlignment="1">
      <alignment horizontal="center" vertical="center" wrapText="1"/>
    </xf>
    <xf numFmtId="0" fontId="47" fillId="0" borderId="96" xfId="0" applyFont="1" applyBorder="1" applyAlignment="1">
      <alignment horizontal="center" vertical="center" wrapText="1"/>
    </xf>
    <xf numFmtId="0" fontId="10" fillId="19" borderId="40" xfId="0" applyFont="1" applyFill="1" applyBorder="1" applyAlignment="1">
      <alignment horizontal="left" vertical="center" wrapText="1"/>
    </xf>
    <xf numFmtId="0" fontId="10" fillId="19" borderId="95" xfId="0" applyFont="1" applyFill="1" applyBorder="1" applyAlignment="1">
      <alignment horizontal="left" vertical="center" wrapText="1"/>
    </xf>
    <xf numFmtId="0" fontId="2" fillId="0" borderId="91" xfId="0" applyFont="1" applyBorder="1" applyAlignment="1">
      <alignment horizontal="center" vertical="center"/>
    </xf>
    <xf numFmtId="0" fontId="2" fillId="0" borderId="10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6" xfId="0" applyFont="1" applyBorder="1" applyAlignment="1">
      <alignment horizontal="center" vertical="center" wrapText="1"/>
    </xf>
    <xf numFmtId="0" fontId="9" fillId="16" borderId="18" xfId="0" applyFont="1" applyFill="1" applyBorder="1" applyAlignment="1">
      <alignment horizontal="center" vertical="center" wrapText="1"/>
    </xf>
    <xf numFmtId="0" fontId="9" fillId="16" borderId="1" xfId="0" applyFont="1" applyFill="1" applyBorder="1" applyAlignment="1">
      <alignment horizontal="center" vertical="center" wrapText="1"/>
    </xf>
    <xf numFmtId="0" fontId="9" fillId="16" borderId="100" xfId="0" applyFont="1" applyFill="1" applyBorder="1" applyAlignment="1">
      <alignment horizontal="center" vertical="center" wrapText="1"/>
    </xf>
    <xf numFmtId="0" fontId="9" fillId="16" borderId="4" xfId="0" applyFont="1" applyFill="1" applyBorder="1" applyAlignment="1">
      <alignment horizontal="center" vertical="center" wrapText="1"/>
    </xf>
    <xf numFmtId="0" fontId="10" fillId="19" borderId="42" xfId="0" applyFont="1" applyFill="1" applyBorder="1" applyAlignment="1">
      <alignment horizontal="center" vertical="center"/>
    </xf>
    <xf numFmtId="0" fontId="10" fillId="19" borderId="3" xfId="0" applyFont="1" applyFill="1" applyBorder="1" applyAlignment="1">
      <alignment horizontal="center" vertical="center"/>
    </xf>
    <xf numFmtId="0" fontId="2" fillId="0" borderId="64" xfId="3" applyFont="1" applyBorder="1" applyAlignment="1">
      <alignment horizontal="left"/>
    </xf>
    <xf numFmtId="0" fontId="2" fillId="0" borderId="8" xfId="3" applyFont="1" applyBorder="1" applyAlignment="1">
      <alignment horizontal="left"/>
    </xf>
    <xf numFmtId="0" fontId="4" fillId="0" borderId="0" xfId="3" applyFont="1" applyAlignment="1">
      <alignment horizontal="center"/>
    </xf>
    <xf numFmtId="0" fontId="5" fillId="0" borderId="57" xfId="3" applyFont="1" applyBorder="1" applyAlignment="1">
      <alignment horizontal="center" vertical="center"/>
    </xf>
    <xf numFmtId="0" fontId="5" fillId="0" borderId="58" xfId="3" applyFont="1" applyBorder="1" applyAlignment="1">
      <alignment horizontal="center" vertical="center"/>
    </xf>
    <xf numFmtId="0" fontId="5" fillId="0" borderId="66" xfId="3" applyFont="1" applyBorder="1" applyAlignment="1">
      <alignment horizontal="center" vertical="center"/>
    </xf>
    <xf numFmtId="0" fontId="2" fillId="0" borderId="61" xfId="3" applyFont="1" applyBorder="1" applyAlignment="1">
      <alignment horizontal="left"/>
    </xf>
    <xf numFmtId="0" fontId="2" fillId="0" borderId="16" xfId="3" applyFont="1" applyBorder="1" applyAlignment="1">
      <alignment horizontal="left"/>
    </xf>
    <xf numFmtId="0" fontId="5" fillId="0" borderId="82" xfId="3" applyFont="1" applyBorder="1" applyAlignment="1">
      <alignment horizontal="left"/>
    </xf>
    <xf numFmtId="49" fontId="2" fillId="0" borderId="64" xfId="3" applyNumberFormat="1" applyFont="1" applyBorder="1" applyAlignment="1">
      <alignment horizontal="left"/>
    </xf>
    <xf numFmtId="49" fontId="2" fillId="0" borderId="8" xfId="3" applyNumberFormat="1" applyFont="1" applyBorder="1" applyAlignment="1">
      <alignment horizontal="left"/>
    </xf>
    <xf numFmtId="0" fontId="2" fillId="0" borderId="64" xfId="3" applyFont="1" applyBorder="1" applyAlignment="1">
      <alignment horizontal="center"/>
    </xf>
    <xf numFmtId="0" fontId="2" fillId="0" borderId="8" xfId="3" applyFont="1" applyBorder="1" applyAlignment="1">
      <alignment horizontal="center"/>
    </xf>
    <xf numFmtId="0" fontId="5" fillId="0" borderId="8" xfId="3" applyFont="1" applyBorder="1" applyAlignment="1">
      <alignment horizontal="left" vertical="center"/>
    </xf>
    <xf numFmtId="0" fontId="2" fillId="0" borderId="10" xfId="3" applyFont="1" applyBorder="1" applyAlignment="1">
      <alignment horizontal="center"/>
    </xf>
    <xf numFmtId="0" fontId="2" fillId="0" borderId="19" xfId="3" applyFont="1" applyBorder="1" applyAlignment="1">
      <alignment horizontal="center"/>
    </xf>
    <xf numFmtId="0" fontId="2" fillId="0" borderId="14" xfId="3" applyFont="1" applyBorder="1" applyAlignment="1">
      <alignment horizontal="center"/>
    </xf>
    <xf numFmtId="0" fontId="2" fillId="0" borderId="28" xfId="3" applyFont="1" applyBorder="1" applyAlignment="1">
      <alignment horizontal="center"/>
    </xf>
    <xf numFmtId="0" fontId="2" fillId="0" borderId="98" xfId="3" applyFont="1" applyBorder="1" applyAlignment="1">
      <alignment horizontal="center"/>
    </xf>
    <xf numFmtId="0" fontId="5" fillId="21" borderId="100" xfId="3" applyFont="1" applyFill="1" applyBorder="1" applyAlignment="1">
      <alignment horizontal="left" vertical="center" wrapText="1"/>
    </xf>
    <xf numFmtId="0" fontId="5" fillId="21" borderId="4" xfId="3" applyFont="1" applyFill="1" applyBorder="1" applyAlignment="1">
      <alignment horizontal="left" vertical="center" wrapText="1"/>
    </xf>
    <xf numFmtId="0" fontId="5" fillId="21" borderId="101" xfId="3" applyFont="1" applyFill="1" applyBorder="1" applyAlignment="1">
      <alignment horizontal="left" vertical="center" wrapText="1"/>
    </xf>
    <xf numFmtId="0" fontId="2" fillId="0" borderId="45" xfId="3" applyFont="1" applyBorder="1" applyAlignment="1">
      <alignment horizontal="left"/>
    </xf>
    <xf numFmtId="0" fontId="2" fillId="0" borderId="103" xfId="3" applyFont="1" applyBorder="1" applyAlignment="1">
      <alignment horizontal="left"/>
    </xf>
    <xf numFmtId="0" fontId="2" fillId="0" borderId="10" xfId="3" applyFont="1" applyBorder="1" applyAlignment="1">
      <alignment horizontal="left"/>
    </xf>
    <xf numFmtId="0" fontId="5" fillId="0" borderId="20" xfId="3" applyFont="1" applyBorder="1" applyAlignment="1">
      <alignment horizontal="left"/>
    </xf>
    <xf numFmtId="0" fontId="2" fillId="0" borderId="6" xfId="3" applyFont="1" applyBorder="1" applyAlignment="1">
      <alignment horizontal="left"/>
    </xf>
    <xf numFmtId="0" fontId="5" fillId="21" borderId="96" xfId="3" applyFont="1" applyFill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5" fillId="0" borderId="8" xfId="3" applyFont="1" applyBorder="1" applyAlignment="1">
      <alignment horizontal="left"/>
    </xf>
    <xf numFmtId="0" fontId="2" fillId="0" borderId="14" xfId="3" applyFont="1" applyBorder="1" applyAlignment="1">
      <alignment horizontal="left"/>
    </xf>
    <xf numFmtId="0" fontId="2" fillId="0" borderId="28" xfId="3" applyFont="1" applyBorder="1" applyAlignment="1">
      <alignment horizontal="left"/>
    </xf>
    <xf numFmtId="0" fontId="2" fillId="0" borderId="98" xfId="3" applyFont="1" applyBorder="1" applyAlignment="1">
      <alignment horizontal="left"/>
    </xf>
  </cellXfs>
  <cellStyles count="8">
    <cellStyle name="Ezres" xfId="6" builtinId="3"/>
    <cellStyle name="Normál" xfId="0" builtinId="0"/>
    <cellStyle name="Normál 2" xfId="3"/>
    <cellStyle name="Normál 3" xfId="4"/>
    <cellStyle name="Normál 4" xfId="5"/>
    <cellStyle name="Normál 5" xfId="7"/>
    <cellStyle name="Százalék" xfId="1" builtinId="5"/>
    <cellStyle name="TableStyleLight1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6CC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BFBFB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54"/>
  <sheetViews>
    <sheetView zoomScale="112" zoomScaleNormal="112" workbookViewId="0">
      <selection sqref="A1:E1"/>
    </sheetView>
  </sheetViews>
  <sheetFormatPr defaultRowHeight="15"/>
  <cols>
    <col min="1" max="1" width="86.5703125" style="113" customWidth="1"/>
    <col min="2" max="2" width="12.85546875" style="1537" customWidth="1"/>
    <col min="3" max="3" width="12.140625" style="1538" customWidth="1"/>
    <col min="4" max="4" width="14.28515625" style="1539" bestFit="1" customWidth="1"/>
    <col min="5" max="5" width="15.5703125" style="113" bestFit="1" customWidth="1"/>
    <col min="6" max="7" width="9.140625" style="113"/>
    <col min="8" max="8" width="12" style="113"/>
    <col min="9" max="11" width="9.140625" style="113"/>
    <col min="12" max="12" width="11.28515625" style="113"/>
    <col min="13" max="16384" width="9.140625" style="113"/>
  </cols>
  <sheetData>
    <row r="1" spans="1:5" ht="50.25" customHeight="1">
      <c r="A1" s="2011" t="s">
        <v>2158</v>
      </c>
      <c r="B1" s="2011"/>
      <c r="C1" s="2011"/>
      <c r="D1" s="2011"/>
      <c r="E1" s="2011"/>
    </row>
    <row r="2" spans="1:5" ht="15.75" customHeight="1">
      <c r="B2" s="1894"/>
      <c r="C2" s="1894"/>
      <c r="D2" s="1894"/>
    </row>
    <row r="3" spans="1:5">
      <c r="B3" s="1894"/>
      <c r="C3" s="1894"/>
      <c r="D3" s="1894"/>
    </row>
    <row r="4" spans="1:5" s="1545" customFormat="1" ht="57">
      <c r="A4" s="1540" t="s">
        <v>0</v>
      </c>
      <c r="B4" s="1541" t="s">
        <v>2160</v>
      </c>
      <c r="C4" s="1542" t="s">
        <v>2161</v>
      </c>
      <c r="D4" s="1543" t="s">
        <v>2162</v>
      </c>
      <c r="E4" s="1544" t="s">
        <v>1</v>
      </c>
    </row>
    <row r="5" spans="1:5">
      <c r="A5" s="1546" t="s">
        <v>2</v>
      </c>
      <c r="B5" s="1547"/>
      <c r="C5" s="1548"/>
    </row>
    <row r="6" spans="1:5">
      <c r="A6" s="1549" t="s">
        <v>1534</v>
      </c>
      <c r="B6" s="1550"/>
      <c r="C6" s="1551"/>
      <c r="D6" s="1552"/>
      <c r="E6" s="1553"/>
    </row>
    <row r="7" spans="1:5">
      <c r="A7" s="1554" t="s">
        <v>1535</v>
      </c>
      <c r="B7" s="1550"/>
      <c r="C7" s="1551"/>
      <c r="D7" s="1552"/>
      <c r="E7" s="1555"/>
    </row>
    <row r="8" spans="1:5">
      <c r="A8" s="1554" t="s">
        <v>1536</v>
      </c>
      <c r="B8" s="1556">
        <v>135788000</v>
      </c>
      <c r="C8" s="1557">
        <v>152939000</v>
      </c>
      <c r="D8" s="1558">
        <v>152939000</v>
      </c>
      <c r="E8" s="1555">
        <f>D8/C8</f>
        <v>1</v>
      </c>
    </row>
    <row r="9" spans="1:5">
      <c r="A9" s="1554" t="s">
        <v>1537</v>
      </c>
      <c r="B9" s="1556">
        <v>8029000</v>
      </c>
      <c r="C9" s="1557">
        <v>8029000</v>
      </c>
      <c r="D9" s="1558">
        <v>8029000</v>
      </c>
      <c r="E9" s="1555">
        <f t="shared" ref="E9:E19" si="0">D9/C9</f>
        <v>1</v>
      </c>
    </row>
    <row r="10" spans="1:5">
      <c r="A10" s="1554" t="s">
        <v>2212</v>
      </c>
      <c r="B10" s="1556">
        <v>10687000</v>
      </c>
      <c r="C10" s="1557">
        <v>10687000</v>
      </c>
      <c r="D10" s="1558">
        <v>10687000</v>
      </c>
      <c r="E10" s="1555">
        <f t="shared" si="0"/>
        <v>1</v>
      </c>
    </row>
    <row r="11" spans="1:5">
      <c r="A11" s="1554" t="s">
        <v>1751</v>
      </c>
      <c r="B11" s="1556">
        <v>5910000</v>
      </c>
      <c r="C11" s="1557">
        <v>4990000</v>
      </c>
      <c r="D11" s="1558">
        <v>4990000</v>
      </c>
      <c r="E11" s="1555">
        <f t="shared" si="0"/>
        <v>1</v>
      </c>
    </row>
    <row r="12" spans="1:5">
      <c r="A12" s="1554" t="s">
        <v>1538</v>
      </c>
      <c r="B12" s="1556">
        <v>100000</v>
      </c>
      <c r="C12" s="1557">
        <v>100000</v>
      </c>
      <c r="D12" s="1558">
        <v>100000</v>
      </c>
      <c r="E12" s="1555">
        <f t="shared" si="0"/>
        <v>1</v>
      </c>
    </row>
    <row r="13" spans="1:5">
      <c r="A13" s="1554" t="s">
        <v>1539</v>
      </c>
      <c r="B13" s="1556">
        <v>7538000</v>
      </c>
      <c r="C13" s="1557">
        <v>7538000</v>
      </c>
      <c r="D13" s="1558">
        <v>7538000</v>
      </c>
      <c r="E13" s="1555">
        <f t="shared" si="0"/>
        <v>1</v>
      </c>
    </row>
    <row r="14" spans="1:5">
      <c r="A14" s="1554" t="s">
        <v>1540</v>
      </c>
      <c r="B14" s="1556">
        <v>16640000</v>
      </c>
      <c r="C14" s="1557">
        <v>16640000</v>
      </c>
      <c r="D14" s="1558">
        <v>16640000</v>
      </c>
      <c r="E14" s="1555">
        <f t="shared" si="0"/>
        <v>1</v>
      </c>
    </row>
    <row r="15" spans="1:5">
      <c r="A15" s="1554" t="s">
        <v>1541</v>
      </c>
      <c r="B15" s="1556">
        <v>107000</v>
      </c>
      <c r="C15" s="1557">
        <v>107000</v>
      </c>
      <c r="D15" s="1558">
        <v>107000</v>
      </c>
      <c r="E15" s="1555">
        <f t="shared" si="0"/>
        <v>1</v>
      </c>
    </row>
    <row r="16" spans="1:5">
      <c r="A16" s="1554" t="s">
        <v>1631</v>
      </c>
      <c r="B16" s="1556"/>
      <c r="C16" s="1557"/>
      <c r="D16" s="1558"/>
      <c r="E16" s="1555">
        <v>0</v>
      </c>
    </row>
    <row r="17" spans="1:5">
      <c r="A17" s="1559" t="s">
        <v>1542</v>
      </c>
      <c r="B17" s="1556">
        <f>SUM(B8:B16)</f>
        <v>184799000</v>
      </c>
      <c r="C17" s="1557">
        <f>SUM(C8:C16)</f>
        <v>201030000</v>
      </c>
      <c r="D17" s="1558">
        <f>SUM(D8:D16)</f>
        <v>201030000</v>
      </c>
      <c r="E17" s="1555">
        <f t="shared" si="0"/>
        <v>1</v>
      </c>
    </row>
    <row r="18" spans="1:5">
      <c r="A18" s="1560" t="s">
        <v>2213</v>
      </c>
      <c r="B18" s="1561">
        <v>0</v>
      </c>
      <c r="C18" s="1562">
        <v>0</v>
      </c>
      <c r="D18" s="1563">
        <v>0</v>
      </c>
      <c r="E18" s="1555"/>
    </row>
    <row r="19" spans="1:5" ht="15.75" thickBot="1">
      <c r="A19" s="1564" t="s">
        <v>1543</v>
      </c>
      <c r="B19" s="1769">
        <f>SUM(B17:B18)</f>
        <v>184799000</v>
      </c>
      <c r="C19" s="1770">
        <f>SUM(C17:C18)</f>
        <v>201030000</v>
      </c>
      <c r="D19" s="1771">
        <f>SUM(D17:D18)</f>
        <v>201030000</v>
      </c>
      <c r="E19" s="1565">
        <f t="shared" si="0"/>
        <v>1</v>
      </c>
    </row>
    <row r="20" spans="1:5" ht="15.75" thickTop="1">
      <c r="A20" s="1549"/>
      <c r="B20" s="1566"/>
      <c r="C20" s="1567"/>
      <c r="D20" s="1568"/>
      <c r="E20" s="1555"/>
    </row>
    <row r="21" spans="1:5">
      <c r="A21" s="1549" t="s">
        <v>1544</v>
      </c>
      <c r="B21" s="1566"/>
      <c r="C21" s="1567"/>
      <c r="D21" s="1568"/>
      <c r="E21" s="1555"/>
    </row>
    <row r="22" spans="1:5">
      <c r="A22" s="1569" t="s">
        <v>1545</v>
      </c>
      <c r="B22" s="1571">
        <v>0</v>
      </c>
      <c r="C22" s="1572">
        <v>0</v>
      </c>
      <c r="D22" s="1573">
        <v>0</v>
      </c>
      <c r="E22" s="1555">
        <v>0</v>
      </c>
    </row>
    <row r="23" spans="1:5">
      <c r="A23" s="1554" t="s">
        <v>1546</v>
      </c>
      <c r="B23" s="1566">
        <v>26201000</v>
      </c>
      <c r="C23" s="1567">
        <v>26201000</v>
      </c>
      <c r="D23" s="1568">
        <v>26201000</v>
      </c>
      <c r="E23" s="1555">
        <f>D23/C23</f>
        <v>1</v>
      </c>
    </row>
    <row r="24" spans="1:5">
      <c r="A24" s="1554" t="s">
        <v>1632</v>
      </c>
      <c r="B24" s="1571">
        <v>0</v>
      </c>
      <c r="C24" s="1572">
        <v>0</v>
      </c>
      <c r="D24" s="1573">
        <v>0</v>
      </c>
      <c r="E24" s="1555">
        <v>0</v>
      </c>
    </row>
    <row r="25" spans="1:5">
      <c r="A25" s="1569" t="s">
        <v>1547</v>
      </c>
      <c r="B25" s="1571">
        <v>0</v>
      </c>
      <c r="C25" s="1572">
        <v>0</v>
      </c>
      <c r="D25" s="1573">
        <v>0</v>
      </c>
      <c r="E25" s="1555">
        <v>0</v>
      </c>
    </row>
    <row r="26" spans="1:5">
      <c r="A26" s="1554" t="s">
        <v>1548</v>
      </c>
      <c r="B26" s="1566">
        <v>142058000</v>
      </c>
      <c r="C26" s="1567">
        <v>144342000</v>
      </c>
      <c r="D26" s="1568">
        <v>144342000</v>
      </c>
      <c r="E26" s="1555">
        <f t="shared" ref="E26:E33" si="1">D26/C26</f>
        <v>1</v>
      </c>
    </row>
    <row r="27" spans="1:5" ht="30">
      <c r="A27" s="1570" t="s">
        <v>1754</v>
      </c>
      <c r="B27" s="1571"/>
      <c r="C27" s="1572"/>
      <c r="D27" s="1573"/>
      <c r="E27" s="1555"/>
    </row>
    <row r="28" spans="1:5">
      <c r="A28" s="1554" t="s">
        <v>1549</v>
      </c>
      <c r="B28" s="1566">
        <v>6691000</v>
      </c>
      <c r="C28" s="1567">
        <v>6343000</v>
      </c>
      <c r="D28" s="1568">
        <v>6343000</v>
      </c>
      <c r="E28" s="1555">
        <f t="shared" si="1"/>
        <v>1</v>
      </c>
    </row>
    <row r="29" spans="1:5">
      <c r="A29" s="1554" t="s">
        <v>1550</v>
      </c>
      <c r="B29" s="1566">
        <v>3241000</v>
      </c>
      <c r="C29" s="1567">
        <v>3241000</v>
      </c>
      <c r="D29" s="1568">
        <v>3241000</v>
      </c>
      <c r="E29" s="1555">
        <f t="shared" si="1"/>
        <v>1</v>
      </c>
    </row>
    <row r="30" spans="1:5">
      <c r="A30" s="1569" t="s">
        <v>1551</v>
      </c>
      <c r="B30" s="1571"/>
      <c r="C30" s="1572"/>
      <c r="D30" s="1573"/>
      <c r="E30" s="1555"/>
    </row>
    <row r="31" spans="1:5">
      <c r="A31" s="1554" t="s">
        <v>1552</v>
      </c>
      <c r="B31" s="1556">
        <v>57948000</v>
      </c>
      <c r="C31" s="1557">
        <v>56368000</v>
      </c>
      <c r="D31" s="1558">
        <v>56368000</v>
      </c>
      <c r="E31" s="1555">
        <f t="shared" si="1"/>
        <v>1</v>
      </c>
    </row>
    <row r="32" spans="1:5">
      <c r="B32" s="1735">
        <v>0</v>
      </c>
      <c r="C32" s="1736">
        <v>0</v>
      </c>
      <c r="D32" s="1737">
        <v>0</v>
      </c>
      <c r="E32" s="1738"/>
    </row>
    <row r="33" spans="1:5" ht="15.75" thickBot="1">
      <c r="A33" s="1564" t="s">
        <v>1553</v>
      </c>
      <c r="B33" s="1769">
        <f>SUM(B23:B32)</f>
        <v>236139000</v>
      </c>
      <c r="C33" s="1770">
        <f>SUM(C23:C32)</f>
        <v>236495000</v>
      </c>
      <c r="D33" s="1771">
        <f>SUM(D22:D32)</f>
        <v>236495000</v>
      </c>
      <c r="E33" s="1565">
        <f t="shared" si="1"/>
        <v>1</v>
      </c>
    </row>
    <row r="34" spans="1:5" ht="15.75" thickTop="1">
      <c r="A34" s="1559"/>
      <c r="B34" s="1566"/>
      <c r="C34" s="1567"/>
      <c r="D34" s="1568"/>
      <c r="E34" s="1555"/>
    </row>
    <row r="35" spans="1:5">
      <c r="A35" s="1549" t="s">
        <v>1554</v>
      </c>
      <c r="B35" s="1566"/>
      <c r="C35" s="1567"/>
      <c r="D35" s="1568"/>
      <c r="E35" s="1555"/>
    </row>
    <row r="36" spans="1:5">
      <c r="A36" s="1574" t="s">
        <v>1555</v>
      </c>
      <c r="B36" s="1571"/>
      <c r="C36" s="1572"/>
      <c r="D36" s="1573"/>
      <c r="E36" s="1555"/>
    </row>
    <row r="37" spans="1:5">
      <c r="A37" s="1554" t="s">
        <v>1556</v>
      </c>
      <c r="B37" s="1556">
        <v>7972000</v>
      </c>
      <c r="C37" s="1567">
        <v>8568000</v>
      </c>
      <c r="D37" s="1568">
        <v>8568000</v>
      </c>
      <c r="E37" s="1555">
        <f>D37/C37</f>
        <v>1</v>
      </c>
    </row>
    <row r="38" spans="1:5">
      <c r="A38" s="1554" t="s">
        <v>1557</v>
      </c>
      <c r="B38" s="1575">
        <v>0</v>
      </c>
      <c r="C38" s="1576">
        <v>0</v>
      </c>
      <c r="D38" s="1577">
        <v>0</v>
      </c>
      <c r="E38" s="1555">
        <v>0</v>
      </c>
    </row>
    <row r="39" spans="1:5">
      <c r="A39" s="1578" t="s">
        <v>1558</v>
      </c>
      <c r="B39" s="1571">
        <v>0</v>
      </c>
      <c r="C39" s="1572">
        <v>0</v>
      </c>
      <c r="D39" s="1573">
        <v>0</v>
      </c>
      <c r="E39" s="1555">
        <v>0</v>
      </c>
    </row>
    <row r="40" spans="1:5">
      <c r="A40" s="1554" t="s">
        <v>1559</v>
      </c>
      <c r="B40" s="1571">
        <v>0</v>
      </c>
      <c r="C40" s="1572">
        <v>0</v>
      </c>
      <c r="D40" s="1573">
        <v>0</v>
      </c>
      <c r="E40" s="1555">
        <v>0</v>
      </c>
    </row>
    <row r="41" spans="1:5">
      <c r="A41" s="1554" t="s">
        <v>1560</v>
      </c>
      <c r="B41" s="1739">
        <v>0</v>
      </c>
      <c r="C41" s="1740">
        <v>0</v>
      </c>
      <c r="D41" s="1741">
        <v>0</v>
      </c>
      <c r="E41" s="1738">
        <v>0</v>
      </c>
    </row>
    <row r="42" spans="1:5">
      <c r="A42" s="1579" t="s">
        <v>1561</v>
      </c>
      <c r="B42" s="1556">
        <f>B37</f>
        <v>7972000</v>
      </c>
      <c r="C42" s="1557">
        <f>C37</f>
        <v>8568000</v>
      </c>
      <c r="D42" s="1558">
        <f>SUM(D37:D41)</f>
        <v>8568000</v>
      </c>
      <c r="E42" s="1555">
        <f t="shared" ref="E42:E50" si="2">D42/C42</f>
        <v>1</v>
      </c>
    </row>
    <row r="43" spans="1:5">
      <c r="A43" s="1579"/>
      <c r="B43" s="1571"/>
      <c r="C43" s="1572"/>
      <c r="D43" s="1573"/>
      <c r="E43" s="1555"/>
    </row>
    <row r="44" spans="1:5">
      <c r="A44" s="1574" t="s">
        <v>1562</v>
      </c>
      <c r="B44" s="1571"/>
      <c r="C44" s="1572"/>
      <c r="D44" s="1573"/>
      <c r="E44" s="1555"/>
    </row>
    <row r="45" spans="1:5">
      <c r="A45" s="1554" t="s">
        <v>1563</v>
      </c>
      <c r="B45" s="1556">
        <v>41188000</v>
      </c>
      <c r="C45" s="1557">
        <v>44277000</v>
      </c>
      <c r="D45" s="1558">
        <v>44277000</v>
      </c>
      <c r="E45" s="1555">
        <f t="shared" si="2"/>
        <v>1</v>
      </c>
    </row>
    <row r="46" spans="1:5">
      <c r="A46" s="1554" t="s">
        <v>1564</v>
      </c>
      <c r="B46" s="1556">
        <v>31553000</v>
      </c>
      <c r="C46" s="1557">
        <v>29352000</v>
      </c>
      <c r="D46" s="1558">
        <v>29352000</v>
      </c>
      <c r="E46" s="1555">
        <f t="shared" si="2"/>
        <v>1</v>
      </c>
    </row>
    <row r="47" spans="1:5">
      <c r="A47" s="1554" t="s">
        <v>1565</v>
      </c>
      <c r="B47" s="1735">
        <v>12105000</v>
      </c>
      <c r="C47" s="1736">
        <v>11458000</v>
      </c>
      <c r="D47" s="1737">
        <v>11458000</v>
      </c>
      <c r="E47" s="1738">
        <f t="shared" si="2"/>
        <v>1</v>
      </c>
    </row>
    <row r="48" spans="1:5">
      <c r="A48" s="1579" t="s">
        <v>1566</v>
      </c>
      <c r="B48" s="1566">
        <f>SUM(B45:B47)</f>
        <v>84846000</v>
      </c>
      <c r="C48" s="1567">
        <f>SUM(C45:C47)</f>
        <v>85087000</v>
      </c>
      <c r="D48" s="1568">
        <f>SUM(D45:D47)</f>
        <v>85087000</v>
      </c>
      <c r="E48" s="1555">
        <f t="shared" si="2"/>
        <v>1</v>
      </c>
    </row>
    <row r="49" spans="1:5">
      <c r="A49" s="1580"/>
      <c r="B49" s="1735"/>
      <c r="C49" s="1736"/>
      <c r="D49" s="1737"/>
      <c r="E49" s="1738"/>
    </row>
    <row r="50" spans="1:5" ht="21" customHeight="1" thickBot="1">
      <c r="A50" s="1581" t="s">
        <v>1567</v>
      </c>
      <c r="B50" s="1594">
        <f>B42+B48</f>
        <v>92818000</v>
      </c>
      <c r="C50" s="1595">
        <f>C42+C48</f>
        <v>93655000</v>
      </c>
      <c r="D50" s="1596">
        <f>D42+D48</f>
        <v>93655000</v>
      </c>
      <c r="E50" s="1565">
        <f t="shared" si="2"/>
        <v>1</v>
      </c>
    </row>
    <row r="51" spans="1:5" ht="15.75" thickTop="1">
      <c r="A51" s="1559"/>
      <c r="B51" s="1571"/>
      <c r="C51" s="1572"/>
      <c r="D51" s="1573"/>
      <c r="E51" s="1555"/>
    </row>
    <row r="52" spans="1:5">
      <c r="A52" s="1549" t="s">
        <v>1568</v>
      </c>
      <c r="B52" s="1566"/>
      <c r="C52" s="1567"/>
      <c r="D52" s="1568"/>
      <c r="E52" s="1555"/>
    </row>
    <row r="53" spans="1:5">
      <c r="A53" s="1554" t="s">
        <v>1569</v>
      </c>
      <c r="B53" s="1566">
        <v>53641000</v>
      </c>
      <c r="C53" s="1567">
        <v>53640000</v>
      </c>
      <c r="D53" s="1568">
        <v>53640000</v>
      </c>
      <c r="E53" s="1555">
        <f>D53/C53</f>
        <v>1</v>
      </c>
    </row>
    <row r="54" spans="1:5">
      <c r="A54" s="1554" t="s">
        <v>1570</v>
      </c>
      <c r="B54" s="1566">
        <v>42252000</v>
      </c>
      <c r="C54" s="1567">
        <v>42895000</v>
      </c>
      <c r="D54" s="1568">
        <v>42895000</v>
      </c>
      <c r="E54" s="1555">
        <f>D54/C54</f>
        <v>1</v>
      </c>
    </row>
    <row r="55" spans="1:5">
      <c r="A55" s="1554" t="s">
        <v>1571</v>
      </c>
      <c r="B55" s="1742">
        <v>0</v>
      </c>
      <c r="C55" s="1743">
        <v>0</v>
      </c>
      <c r="D55" s="1744">
        <v>0</v>
      </c>
      <c r="E55" s="1738">
        <v>0</v>
      </c>
    </row>
    <row r="56" spans="1:5">
      <c r="A56" s="1579" t="s">
        <v>1572</v>
      </c>
      <c r="B56" s="1615">
        <f>SUM(B53:B55)</f>
        <v>95893000</v>
      </c>
      <c r="C56" s="1616">
        <f>SUM(C53:C55)</f>
        <v>96535000</v>
      </c>
      <c r="D56" s="1617">
        <f>SUM(D53:D55)</f>
        <v>96535000</v>
      </c>
      <c r="E56" s="1555">
        <f t="shared" ref="E56:E62" si="3">D56/C56</f>
        <v>1</v>
      </c>
    </row>
    <row r="57" spans="1:5">
      <c r="A57" s="1588"/>
      <c r="B57" s="1566"/>
      <c r="C57" s="1567"/>
      <c r="D57" s="1568"/>
      <c r="E57" s="1555"/>
    </row>
    <row r="58" spans="1:5">
      <c r="A58" s="1589" t="s">
        <v>1573</v>
      </c>
      <c r="B58" s="1566"/>
      <c r="C58" s="1567"/>
      <c r="D58" s="1568"/>
      <c r="E58" s="1555"/>
    </row>
    <row r="59" spans="1:5">
      <c r="A59" s="1590" t="s">
        <v>1574</v>
      </c>
      <c r="B59" s="1735">
        <v>13152000</v>
      </c>
      <c r="C59" s="1736">
        <v>13152000</v>
      </c>
      <c r="D59" s="1737">
        <v>13152000</v>
      </c>
      <c r="E59" s="1738">
        <f t="shared" si="3"/>
        <v>1</v>
      </c>
    </row>
    <row r="60" spans="1:5">
      <c r="A60" s="1591" t="s">
        <v>1575</v>
      </c>
      <c r="B60" s="1630">
        <f>SUM(B59)</f>
        <v>13152000</v>
      </c>
      <c r="C60" s="1600">
        <f>SUM(C59)</f>
        <v>13152000</v>
      </c>
      <c r="D60" s="1601">
        <f>SUM(D59)</f>
        <v>13152000</v>
      </c>
      <c r="E60" s="1555">
        <f t="shared" si="3"/>
        <v>1</v>
      </c>
    </row>
    <row r="61" spans="1:5" ht="15.75" thickBot="1">
      <c r="A61" s="1592"/>
      <c r="B61" s="1582"/>
      <c r="C61" s="1583"/>
      <c r="D61" s="1584"/>
      <c r="E61" s="1565"/>
    </row>
    <row r="62" spans="1:5" ht="16.5" thickTop="1" thickBot="1">
      <c r="A62" s="1593" t="s">
        <v>1576</v>
      </c>
      <c r="B62" s="1594">
        <f>B19+B33+B50+B56+B60</f>
        <v>622801000</v>
      </c>
      <c r="C62" s="1595">
        <f>C19+C33+C50+C56+C60</f>
        <v>640867000</v>
      </c>
      <c r="D62" s="1596">
        <f>D19+D33+D50+D56+D60</f>
        <v>640867000</v>
      </c>
      <c r="E62" s="1565">
        <f t="shared" si="3"/>
        <v>1</v>
      </c>
    </row>
    <row r="63" spans="1:5" ht="15.75" thickTop="1">
      <c r="A63" s="1569"/>
      <c r="B63" s="1585"/>
      <c r="C63" s="1586"/>
      <c r="D63" s="1587"/>
      <c r="E63" s="1555"/>
    </row>
    <row r="64" spans="1:5">
      <c r="A64" s="1546" t="s">
        <v>1577</v>
      </c>
      <c r="B64" s="1585"/>
      <c r="C64" s="1586"/>
      <c r="D64" s="1587"/>
      <c r="E64" s="1597"/>
    </row>
    <row r="65" spans="1:16">
      <c r="A65" s="1554" t="s">
        <v>2163</v>
      </c>
      <c r="B65" s="1585">
        <v>3671000</v>
      </c>
      <c r="C65" s="1586">
        <v>6346000</v>
      </c>
      <c r="D65" s="1587">
        <v>6346000</v>
      </c>
      <c r="E65" s="1597">
        <f>D65/C65</f>
        <v>1</v>
      </c>
    </row>
    <row r="66" spans="1:16">
      <c r="A66" s="1554" t="s">
        <v>2164</v>
      </c>
      <c r="B66" s="1648">
        <v>0</v>
      </c>
      <c r="C66" s="1586">
        <v>124061000</v>
      </c>
      <c r="D66" s="1587">
        <v>124061000</v>
      </c>
      <c r="E66" s="1597">
        <f t="shared" ref="E66:E71" si="4">D66/C66</f>
        <v>1</v>
      </c>
    </row>
    <row r="67" spans="1:16">
      <c r="A67" s="1554" t="s">
        <v>2165</v>
      </c>
      <c r="B67" s="1651">
        <v>0</v>
      </c>
      <c r="C67" s="1567">
        <v>623000</v>
      </c>
      <c r="D67" s="1568">
        <v>623000</v>
      </c>
      <c r="E67" s="1597">
        <f t="shared" si="4"/>
        <v>1</v>
      </c>
    </row>
    <row r="68" spans="1:16">
      <c r="A68" s="1554" t="s">
        <v>2166</v>
      </c>
      <c r="B68" s="1651">
        <v>0</v>
      </c>
      <c r="C68" s="1567">
        <v>6129000</v>
      </c>
      <c r="D68" s="1568">
        <v>6129000</v>
      </c>
      <c r="E68" s="1597">
        <f t="shared" si="4"/>
        <v>1</v>
      </c>
      <c r="F68" s="1598"/>
      <c r="G68" s="1598"/>
      <c r="H68" s="1598"/>
      <c r="I68" s="1598"/>
      <c r="J68" s="1598"/>
      <c r="K68" s="1598"/>
      <c r="L68" s="1598"/>
      <c r="M68" s="1598"/>
      <c r="N68" s="1598"/>
      <c r="O68" s="1598"/>
      <c r="P68" s="1598"/>
    </row>
    <row r="69" spans="1:16">
      <c r="A69" s="1578" t="s">
        <v>2167</v>
      </c>
      <c r="B69" s="1651">
        <v>0</v>
      </c>
      <c r="C69" s="1567">
        <v>11369000</v>
      </c>
      <c r="D69" s="1568">
        <v>11369000</v>
      </c>
      <c r="E69" s="1597">
        <f t="shared" si="4"/>
        <v>1</v>
      </c>
      <c r="F69" s="1598"/>
      <c r="G69" s="1598"/>
      <c r="H69" s="1598"/>
      <c r="I69" s="1598"/>
      <c r="J69" s="1598"/>
      <c r="K69" s="1598"/>
      <c r="L69" s="1598"/>
      <c r="M69" s="1598"/>
      <c r="N69" s="1598"/>
      <c r="O69" s="1598"/>
      <c r="P69" s="1598"/>
    </row>
    <row r="70" spans="1:16">
      <c r="A70" s="1578" t="s">
        <v>2168</v>
      </c>
      <c r="B70" s="1742">
        <v>0</v>
      </c>
      <c r="C70" s="1736">
        <v>503000</v>
      </c>
      <c r="D70" s="1737">
        <v>503000</v>
      </c>
      <c r="E70" s="1745">
        <f t="shared" si="4"/>
        <v>1</v>
      </c>
      <c r="F70" s="1598"/>
      <c r="G70" s="1598"/>
      <c r="H70" s="1598"/>
      <c r="I70" s="1598"/>
      <c r="J70" s="1598"/>
      <c r="K70" s="1598"/>
      <c r="L70" s="1598"/>
      <c r="M70" s="1598"/>
      <c r="N70" s="1598"/>
      <c r="O70" s="1598"/>
      <c r="P70" s="1598"/>
    </row>
    <row r="71" spans="1:16" ht="15" customHeight="1">
      <c r="A71" s="1599" t="s">
        <v>1578</v>
      </c>
      <c r="B71" s="1772">
        <v>0</v>
      </c>
      <c r="C71" s="1600">
        <f>SUM(C65:C70)</f>
        <v>149031000</v>
      </c>
      <c r="D71" s="1601">
        <f>SUM(D65:D70)</f>
        <v>149031000</v>
      </c>
      <c r="E71" s="1597">
        <f t="shared" si="4"/>
        <v>1</v>
      </c>
      <c r="F71" s="1598"/>
      <c r="G71" s="1598"/>
      <c r="H71" s="1602"/>
      <c r="I71" s="1602"/>
      <c r="J71" s="1602"/>
      <c r="K71" s="1602"/>
      <c r="L71" s="1602"/>
      <c r="M71" s="1598"/>
      <c r="N71" s="1598"/>
      <c r="O71" s="1598"/>
      <c r="P71" s="1598"/>
    </row>
    <row r="72" spans="1:16" ht="15" customHeight="1">
      <c r="A72" s="1599"/>
      <c r="B72" s="1585"/>
      <c r="C72" s="1586"/>
      <c r="D72" s="1587"/>
      <c r="E72" s="1555"/>
      <c r="F72" s="1598"/>
      <c r="G72" s="1598"/>
      <c r="H72" s="1602"/>
      <c r="I72" s="1602"/>
      <c r="J72" s="1602"/>
      <c r="K72" s="1602"/>
      <c r="L72" s="1602"/>
      <c r="M72" s="1598"/>
      <c r="N72" s="1598"/>
      <c r="O72" s="1598"/>
      <c r="P72" s="1598"/>
    </row>
    <row r="73" spans="1:16" ht="15" customHeight="1" thickBot="1">
      <c r="B73" s="1582">
        <f>SUM(B72)</f>
        <v>0</v>
      </c>
      <c r="C73" s="1583">
        <f>SUM(C72:C72)</f>
        <v>0</v>
      </c>
      <c r="D73" s="1584">
        <f>SUM(D72:D72)</f>
        <v>0</v>
      </c>
      <c r="E73" s="1603"/>
      <c r="F73" s="1598"/>
      <c r="G73" s="1598"/>
      <c r="H73" s="1604"/>
      <c r="I73" s="1602"/>
      <c r="J73" s="1602"/>
      <c r="K73" s="1602"/>
      <c r="L73" s="1602"/>
      <c r="M73" s="1598"/>
      <c r="N73" s="1598"/>
      <c r="O73" s="1598"/>
      <c r="P73" s="1598"/>
    </row>
    <row r="74" spans="1:16" ht="15.75" customHeight="1" thickTop="1" thickBot="1">
      <c r="A74" s="1605" t="s">
        <v>1579</v>
      </c>
      <c r="B74" s="1606">
        <f>B62+B65</f>
        <v>626472000</v>
      </c>
      <c r="C74" s="1607">
        <f>C62+C71</f>
        <v>789898000</v>
      </c>
      <c r="D74" s="1608">
        <f>D62+D71</f>
        <v>789898000</v>
      </c>
      <c r="E74" s="1609">
        <f>D74/C74</f>
        <v>1</v>
      </c>
    </row>
    <row r="75" spans="1:16" ht="15.75" customHeight="1" thickTop="1">
      <c r="A75" s="1610"/>
      <c r="B75" s="1566"/>
      <c r="C75" s="1567"/>
      <c r="D75" s="1568"/>
      <c r="E75" s="1611"/>
    </row>
    <row r="76" spans="1:16" ht="15.75" customHeight="1">
      <c r="A76" s="1612" t="s">
        <v>1580</v>
      </c>
      <c r="B76" s="1566"/>
      <c r="C76" s="1600"/>
      <c r="D76" s="1601"/>
      <c r="E76" s="1555"/>
    </row>
    <row r="77" spans="1:16" ht="15.75" customHeight="1">
      <c r="A77" s="1549"/>
      <c r="B77" s="1566"/>
      <c r="C77" s="1567"/>
      <c r="D77" s="1568"/>
      <c r="E77" s="1555"/>
    </row>
    <row r="78" spans="1:16" ht="15.75" customHeight="1">
      <c r="A78" s="1546" t="s">
        <v>1581</v>
      </c>
      <c r="B78" s="1571"/>
      <c r="C78" s="1567"/>
      <c r="D78" s="1568"/>
      <c r="E78" s="1555"/>
    </row>
    <row r="79" spans="1:16" ht="15.75" customHeight="1">
      <c r="A79" s="1554" t="s">
        <v>2169</v>
      </c>
      <c r="B79" s="1651">
        <v>0</v>
      </c>
      <c r="C79" s="1576">
        <v>0</v>
      </c>
      <c r="D79" s="1568">
        <v>7167000</v>
      </c>
      <c r="E79" s="1555"/>
    </row>
    <row r="80" spans="1:16" ht="15.75" customHeight="1">
      <c r="A80" s="1554" t="s">
        <v>1582</v>
      </c>
      <c r="B80" s="1556">
        <v>12437000</v>
      </c>
      <c r="C80" s="1567">
        <v>58704000</v>
      </c>
      <c r="D80" s="1568">
        <v>60209000</v>
      </c>
      <c r="E80" s="1555">
        <f t="shared" ref="E80:E83" si="5">D80/C80</f>
        <v>1.0256370945761788</v>
      </c>
    </row>
    <row r="81" spans="1:5" ht="15.75" customHeight="1">
      <c r="A81" s="1536" t="s">
        <v>2170</v>
      </c>
      <c r="B81" s="1556">
        <v>31493000</v>
      </c>
      <c r="C81" s="1567">
        <v>31493000</v>
      </c>
      <c r="D81" s="1652">
        <v>0</v>
      </c>
      <c r="E81" s="1555">
        <f t="shared" si="5"/>
        <v>0</v>
      </c>
    </row>
    <row r="82" spans="1:5" ht="15.75" customHeight="1">
      <c r="A82" s="1536" t="s">
        <v>2171</v>
      </c>
      <c r="B82" s="1651">
        <v>0</v>
      </c>
      <c r="C82" s="1567">
        <v>6052000</v>
      </c>
      <c r="D82" s="1568">
        <v>6052000</v>
      </c>
      <c r="E82" s="1555">
        <f t="shared" si="5"/>
        <v>1</v>
      </c>
    </row>
    <row r="83" spans="1:5" ht="15.75" customHeight="1">
      <c r="A83" s="1536" t="s">
        <v>2172</v>
      </c>
      <c r="B83" s="1651">
        <v>0</v>
      </c>
      <c r="C83" s="1567">
        <v>1309000</v>
      </c>
      <c r="D83" s="1568">
        <v>1304000</v>
      </c>
      <c r="E83" s="1555">
        <f t="shared" si="5"/>
        <v>0.99618029029793731</v>
      </c>
    </row>
    <row r="84" spans="1:5" ht="21" customHeight="1">
      <c r="A84" s="1613" t="s">
        <v>1583</v>
      </c>
      <c r="B84" s="1750">
        <f>SUM(B76:B83)</f>
        <v>43930000</v>
      </c>
      <c r="C84" s="1751">
        <f>SUM(C78:C83)</f>
        <v>97558000</v>
      </c>
      <c r="D84" s="1752">
        <f>SUM(D76:D83)</f>
        <v>74732000</v>
      </c>
      <c r="E84" s="1614">
        <f>D84/C84</f>
        <v>0.76602636380409606</v>
      </c>
    </row>
    <row r="85" spans="1:5">
      <c r="A85" s="487"/>
      <c r="B85" s="1566"/>
      <c r="C85" s="1567"/>
      <c r="D85" s="1568"/>
      <c r="E85" s="1611"/>
    </row>
    <row r="86" spans="1:5" ht="18" customHeight="1">
      <c r="A86" s="1613"/>
      <c r="B86" s="1615"/>
      <c r="C86" s="1616"/>
      <c r="D86" s="1617"/>
      <c r="E86" s="1618"/>
    </row>
    <row r="87" spans="1:5" ht="12.75" customHeight="1" thickBot="1">
      <c r="B87" s="1619"/>
      <c r="C87" s="1620"/>
      <c r="D87" s="1621"/>
      <c r="E87" s="1622"/>
    </row>
    <row r="88" spans="1:5" ht="16.5" thickTop="1" thickBot="1">
      <c r="A88" s="1623" t="s">
        <v>1584</v>
      </c>
      <c r="B88" s="1624">
        <f>B74+B84</f>
        <v>670402000</v>
      </c>
      <c r="C88" s="1607">
        <f>C74+C76+C84</f>
        <v>887456000</v>
      </c>
      <c r="D88" s="1608">
        <f>D74+D76+D84</f>
        <v>864630000</v>
      </c>
      <c r="E88" s="1625">
        <f>D88/C88</f>
        <v>0.97427928821259868</v>
      </c>
    </row>
    <row r="89" spans="1:5" ht="15.75" thickTop="1">
      <c r="A89" s="1626"/>
      <c r="B89" s="1571"/>
      <c r="C89" s="1567"/>
      <c r="D89" s="1568"/>
      <c r="E89" s="1555"/>
    </row>
    <row r="90" spans="1:5">
      <c r="A90" s="1545"/>
      <c r="B90" s="1566"/>
      <c r="C90" s="1567"/>
      <c r="D90" s="1568"/>
      <c r="E90" s="1555"/>
    </row>
    <row r="91" spans="1:5">
      <c r="A91" s="1546" t="s">
        <v>1585</v>
      </c>
      <c r="B91" s="1571"/>
      <c r="C91" s="1567"/>
      <c r="D91" s="1568"/>
      <c r="E91" s="1555"/>
    </row>
    <row r="92" spans="1:5">
      <c r="A92" s="1536" t="s">
        <v>2170</v>
      </c>
      <c r="B92" s="1746">
        <v>554997000</v>
      </c>
      <c r="C92" s="1586">
        <v>555838000</v>
      </c>
      <c r="D92" s="1587">
        <v>160899000</v>
      </c>
      <c r="E92" s="1555">
        <f>D92/C92</f>
        <v>0.28947103292685999</v>
      </c>
    </row>
    <row r="93" spans="1:5">
      <c r="A93" s="1536" t="s">
        <v>2171</v>
      </c>
      <c r="B93" s="1739">
        <v>0</v>
      </c>
      <c r="C93" s="1740">
        <v>0</v>
      </c>
      <c r="D93" s="1563">
        <v>841000</v>
      </c>
      <c r="E93" s="1738">
        <v>0</v>
      </c>
    </row>
    <row r="94" spans="1:5" ht="16.5">
      <c r="A94" s="1613" t="s">
        <v>1586</v>
      </c>
      <c r="B94" s="1753">
        <f>SUM(B92:B93)</f>
        <v>554997000</v>
      </c>
      <c r="C94" s="1754">
        <f>SUM(C92:C93)</f>
        <v>555838000</v>
      </c>
      <c r="D94" s="1755">
        <f>SUM(D92:D93)</f>
        <v>161740000</v>
      </c>
      <c r="E94" s="1555">
        <f t="shared" ref="E94" si="6">D94/C94</f>
        <v>0.29098406370201391</v>
      </c>
    </row>
    <row r="95" spans="1:5">
      <c r="A95" s="1546"/>
      <c r="B95" s="1627"/>
      <c r="C95" s="1628"/>
      <c r="D95" s="1617"/>
      <c r="E95" s="1618"/>
    </row>
    <row r="96" spans="1:5">
      <c r="A96" s="1546" t="s">
        <v>3</v>
      </c>
    </row>
    <row r="97" spans="1:12">
      <c r="A97" s="1629" t="s">
        <v>4</v>
      </c>
    </row>
    <row r="98" spans="1:12">
      <c r="A98" s="1554" t="s">
        <v>1587</v>
      </c>
      <c r="B98" s="1566">
        <v>240000000</v>
      </c>
      <c r="C98" s="1567">
        <v>240000000</v>
      </c>
      <c r="D98" s="1568">
        <v>245438000</v>
      </c>
      <c r="E98" s="1555">
        <f>D98/C98</f>
        <v>1.0226583333333332</v>
      </c>
    </row>
    <row r="99" spans="1:12">
      <c r="A99" s="1629" t="s">
        <v>5</v>
      </c>
      <c r="B99" s="1566"/>
      <c r="C99" s="1567"/>
      <c r="D99" s="1568"/>
      <c r="E99" s="1555"/>
    </row>
    <row r="100" spans="1:12">
      <c r="A100" s="1554" t="s">
        <v>1588</v>
      </c>
      <c r="B100" s="1566">
        <v>1100000000</v>
      </c>
      <c r="C100" s="1567">
        <v>975939000</v>
      </c>
      <c r="D100" s="1568">
        <v>923342000</v>
      </c>
      <c r="E100" s="1555">
        <f t="shared" ref="E100:E111" si="7">D100/C100</f>
        <v>0.94610626278896526</v>
      </c>
    </row>
    <row r="101" spans="1:12">
      <c r="A101" s="1554" t="s">
        <v>1589</v>
      </c>
      <c r="B101" s="1566">
        <v>9000000</v>
      </c>
      <c r="C101" s="1567">
        <v>9000000</v>
      </c>
      <c r="D101" s="1568">
        <v>9548000</v>
      </c>
      <c r="E101" s="1555">
        <f t="shared" si="7"/>
        <v>1.060888888888889</v>
      </c>
    </row>
    <row r="102" spans="1:12">
      <c r="A102" s="1629"/>
      <c r="B102" s="1735">
        <v>0</v>
      </c>
      <c r="C102" s="1736"/>
      <c r="D102" s="1737"/>
      <c r="E102" s="1738"/>
    </row>
    <row r="103" spans="1:12" ht="17.25">
      <c r="A103" s="1626" t="s">
        <v>6</v>
      </c>
      <c r="B103" s="1756">
        <f>SUM(B98:B102)</f>
        <v>1349000000</v>
      </c>
      <c r="C103" s="1757">
        <f>SUM(C98:C102)</f>
        <v>1224939000</v>
      </c>
      <c r="D103" s="1758">
        <f>SUM(D98:D102)</f>
        <v>1178328000</v>
      </c>
      <c r="E103" s="1555">
        <f t="shared" si="7"/>
        <v>0.96194830926274699</v>
      </c>
    </row>
    <row r="104" spans="1:12">
      <c r="A104" s="1546" t="s">
        <v>7</v>
      </c>
      <c r="B104" s="1630"/>
      <c r="C104" s="1600"/>
      <c r="D104" s="1601"/>
      <c r="E104" s="1555"/>
    </row>
    <row r="105" spans="1:12">
      <c r="A105" s="1554" t="s">
        <v>8</v>
      </c>
      <c r="B105" s="1537">
        <v>0</v>
      </c>
      <c r="C105" s="1538">
        <v>0</v>
      </c>
      <c r="D105" s="1539">
        <v>0</v>
      </c>
      <c r="E105" s="1555">
        <v>0</v>
      </c>
    </row>
    <row r="106" spans="1:12">
      <c r="A106" s="1554" t="s">
        <v>9</v>
      </c>
      <c r="B106" s="1571">
        <v>0</v>
      </c>
      <c r="C106" s="1572">
        <v>0</v>
      </c>
      <c r="D106" s="1573">
        <v>0</v>
      </c>
      <c r="E106" s="1555">
        <v>0</v>
      </c>
    </row>
    <row r="107" spans="1:12">
      <c r="A107" s="1554" t="s">
        <v>1590</v>
      </c>
      <c r="B107" s="1571">
        <v>0</v>
      </c>
      <c r="C107" s="1572">
        <v>0</v>
      </c>
      <c r="D107" s="1652">
        <v>0</v>
      </c>
      <c r="E107" s="1555">
        <v>0</v>
      </c>
    </row>
    <row r="108" spans="1:12">
      <c r="A108" s="1554" t="s">
        <v>1591</v>
      </c>
      <c r="B108" s="1561">
        <v>1500000</v>
      </c>
      <c r="C108" s="1562">
        <v>1500000</v>
      </c>
      <c r="D108" s="1737">
        <v>2583000</v>
      </c>
      <c r="E108" s="1738">
        <f t="shared" si="7"/>
        <v>1.722</v>
      </c>
    </row>
    <row r="109" spans="1:12" s="1631" customFormat="1">
      <c r="A109" s="1626" t="s">
        <v>10</v>
      </c>
      <c r="B109" s="1566">
        <f>SUM(B106:B108)</f>
        <v>1500000</v>
      </c>
      <c r="C109" s="1567">
        <f>SUM(C106:C108)</f>
        <v>1500000</v>
      </c>
      <c r="D109" s="1568">
        <f>SUM(D106:D108)</f>
        <v>2583000</v>
      </c>
      <c r="E109" s="1555">
        <f t="shared" si="7"/>
        <v>1.722</v>
      </c>
    </row>
    <row r="110" spans="1:12">
      <c r="A110" s="1549"/>
      <c r="B110" s="1747"/>
      <c r="C110" s="1748"/>
      <c r="D110" s="1749"/>
      <c r="E110" s="1738"/>
      <c r="L110" s="465"/>
    </row>
    <row r="111" spans="1:12" ht="16.5">
      <c r="A111" s="1613" t="s">
        <v>11</v>
      </c>
      <c r="B111" s="1759">
        <f t="shared" ref="B111:D112" si="8">B103+B109</f>
        <v>1350500000</v>
      </c>
      <c r="C111" s="1760">
        <f t="shared" si="8"/>
        <v>1226439000</v>
      </c>
      <c r="D111" s="1761">
        <f t="shared" si="8"/>
        <v>1180911000</v>
      </c>
      <c r="E111" s="1555">
        <f t="shared" si="7"/>
        <v>0.96287789282630443</v>
      </c>
      <c r="L111" s="465"/>
    </row>
    <row r="112" spans="1:12">
      <c r="A112" s="1613"/>
      <c r="B112" s="1615">
        <f t="shared" si="8"/>
        <v>0</v>
      </c>
      <c r="C112" s="1616">
        <f t="shared" si="8"/>
        <v>0</v>
      </c>
      <c r="D112" s="1617">
        <f t="shared" si="8"/>
        <v>0</v>
      </c>
      <c r="E112" s="1618"/>
      <c r="L112" s="465"/>
    </row>
    <row r="113" spans="1:12">
      <c r="A113" s="1540" t="s">
        <v>0</v>
      </c>
      <c r="B113" s="1632"/>
      <c r="E113" s="1618"/>
      <c r="L113" s="465"/>
    </row>
    <row r="114" spans="1:12">
      <c r="A114" s="1546" t="s">
        <v>12</v>
      </c>
      <c r="B114" s="1633"/>
      <c r="E114" s="1618"/>
      <c r="L114" s="465"/>
    </row>
    <row r="115" spans="1:12">
      <c r="A115" s="1598" t="s">
        <v>13</v>
      </c>
      <c r="B115" s="1571">
        <v>0</v>
      </c>
      <c r="C115" s="1572">
        <v>0</v>
      </c>
      <c r="D115" s="1652">
        <v>0</v>
      </c>
      <c r="E115" s="1555">
        <v>0</v>
      </c>
      <c r="L115" s="465"/>
    </row>
    <row r="116" spans="1:12">
      <c r="A116" s="1598" t="s">
        <v>14</v>
      </c>
      <c r="B116" s="1566">
        <f>'2.'!T14</f>
        <v>25969000</v>
      </c>
      <c r="C116" s="1567">
        <f>'2.'!U14</f>
        <v>28969000</v>
      </c>
      <c r="D116" s="1568">
        <f>'2.'!V14</f>
        <v>38337000</v>
      </c>
      <c r="E116" s="1555">
        <f>D116/C116</f>
        <v>1.3233801650039698</v>
      </c>
      <c r="L116" s="465"/>
    </row>
    <row r="117" spans="1:12">
      <c r="A117" s="1598" t="s">
        <v>15</v>
      </c>
      <c r="B117" s="1566">
        <f>'2.'!T15</f>
        <v>23763000</v>
      </c>
      <c r="C117" s="1567">
        <f>'2.'!U15</f>
        <v>23763000</v>
      </c>
      <c r="D117" s="1568">
        <f>'2.'!V15</f>
        <v>16994000</v>
      </c>
      <c r="E117" s="1555">
        <f>D117/C117</f>
        <v>0.7151453941000715</v>
      </c>
      <c r="L117" s="465"/>
    </row>
    <row r="118" spans="1:12">
      <c r="A118" s="1598" t="s">
        <v>16</v>
      </c>
      <c r="B118" s="1566">
        <f>'2.'!T16</f>
        <v>63798000</v>
      </c>
      <c r="C118" s="1567">
        <f>'2.'!U16</f>
        <v>63798000</v>
      </c>
      <c r="D118" s="1568">
        <f>'2.'!V16</f>
        <v>75314000</v>
      </c>
      <c r="E118" s="1555">
        <f t="shared" ref="E118:E122" si="9">D118/C118</f>
        <v>1.1805072259318474</v>
      </c>
      <c r="L118" s="465"/>
    </row>
    <row r="119" spans="1:12">
      <c r="A119" s="1598" t="s">
        <v>17</v>
      </c>
      <c r="B119" s="1566">
        <f>'2.'!T17</f>
        <v>62209000</v>
      </c>
      <c r="C119" s="1567">
        <f>'2.'!U17</f>
        <v>62209000</v>
      </c>
      <c r="D119" s="1568">
        <f>'2.'!V17</f>
        <v>61031000</v>
      </c>
      <c r="E119" s="1555">
        <f t="shared" si="9"/>
        <v>0.98106383320741375</v>
      </c>
      <c r="L119" s="465"/>
    </row>
    <row r="120" spans="1:12">
      <c r="A120" s="1598" t="s">
        <v>18</v>
      </c>
      <c r="B120" s="1566">
        <f>'2.'!T18</f>
        <v>26815000</v>
      </c>
      <c r="C120" s="1567">
        <f>'2.'!U18</f>
        <v>27625000</v>
      </c>
      <c r="D120" s="1568">
        <f>'2.'!V18</f>
        <v>37376000</v>
      </c>
      <c r="E120" s="1555">
        <f t="shared" si="9"/>
        <v>1.3529773755656109</v>
      </c>
      <c r="L120" s="465"/>
    </row>
    <row r="121" spans="1:12">
      <c r="A121" s="1598" t="s">
        <v>19</v>
      </c>
      <c r="B121" s="1566">
        <f>'2.'!T19</f>
        <v>34244000</v>
      </c>
      <c r="C121" s="1567">
        <f>'2.'!U19</f>
        <v>36220000</v>
      </c>
      <c r="D121" s="1568">
        <f>'2.'!V19</f>
        <v>3190000</v>
      </c>
      <c r="E121" s="1555">
        <f t="shared" si="9"/>
        <v>8.8072887907233569E-2</v>
      </c>
      <c r="L121" s="465"/>
    </row>
    <row r="122" spans="1:12">
      <c r="A122" s="1598" t="s">
        <v>1752</v>
      </c>
      <c r="B122" s="1566">
        <f>'2.'!T20</f>
        <v>100000000</v>
      </c>
      <c r="C122" s="1567">
        <f>'2.'!U20</f>
        <v>109517000</v>
      </c>
      <c r="D122" s="1568">
        <f>'2.'!V20</f>
        <v>175703387</v>
      </c>
      <c r="E122" s="1555">
        <f t="shared" si="9"/>
        <v>1.6043480646840216</v>
      </c>
      <c r="L122" s="465"/>
    </row>
    <row r="123" spans="1:12">
      <c r="A123" s="1598" t="s">
        <v>20</v>
      </c>
      <c r="B123" s="1651">
        <v>0</v>
      </c>
      <c r="C123" s="1576">
        <f>'2.'!U21</f>
        <v>0</v>
      </c>
      <c r="D123" s="1652">
        <f>'2.'!V21</f>
        <v>0</v>
      </c>
      <c r="E123" s="1555">
        <v>0</v>
      </c>
      <c r="L123" s="465"/>
    </row>
    <row r="124" spans="1:12">
      <c r="A124" s="1598" t="s">
        <v>57</v>
      </c>
      <c r="B124" s="1651">
        <v>0</v>
      </c>
      <c r="C124" s="1576">
        <f>'2.'!U22</f>
        <v>0</v>
      </c>
      <c r="D124" s="1568">
        <f>'2.'!V22</f>
        <v>408000</v>
      </c>
      <c r="E124" s="1555">
        <v>0</v>
      </c>
      <c r="L124" s="465"/>
    </row>
    <row r="125" spans="1:12">
      <c r="A125" s="1598" t="s">
        <v>21</v>
      </c>
      <c r="B125" s="1735">
        <f>'2.'!T23</f>
        <v>5600000</v>
      </c>
      <c r="C125" s="1736">
        <f>'2.'!U23</f>
        <v>5600000</v>
      </c>
      <c r="D125" s="1737">
        <f>'2.'!V23</f>
        <v>23821000</v>
      </c>
      <c r="E125" s="1738">
        <f>D125/C125</f>
        <v>4.2537500000000001</v>
      </c>
      <c r="L125" s="465"/>
    </row>
    <row r="126" spans="1:12" ht="16.5">
      <c r="A126" s="1613" t="s">
        <v>22</v>
      </c>
      <c r="B126" s="1762">
        <f>SUM(B115:B125)</f>
        <v>342398000</v>
      </c>
      <c r="C126" s="1763">
        <f>SUM(C115:C125)</f>
        <v>357701000</v>
      </c>
      <c r="D126" s="1764">
        <f>SUM(D115:D125)</f>
        <v>432174387</v>
      </c>
      <c r="E126" s="1555">
        <f>D126/C126</f>
        <v>1.2082001084704823</v>
      </c>
      <c r="L126" s="465"/>
    </row>
    <row r="127" spans="1:12">
      <c r="A127" s="1634"/>
      <c r="B127" s="1571"/>
      <c r="C127" s="1572"/>
      <c r="D127" s="1568"/>
      <c r="E127" s="1555"/>
      <c r="L127" s="465"/>
    </row>
    <row r="128" spans="1:12">
      <c r="A128" s="1546" t="s">
        <v>23</v>
      </c>
      <c r="B128" s="1571"/>
      <c r="C128" s="1635"/>
      <c r="D128" s="1568"/>
      <c r="E128" s="1555"/>
      <c r="L128" s="465"/>
    </row>
    <row r="129" spans="1:12">
      <c r="A129" s="1598" t="s">
        <v>24</v>
      </c>
      <c r="B129" s="1648">
        <v>0</v>
      </c>
      <c r="C129" s="1649">
        <v>0</v>
      </c>
      <c r="D129" s="1650">
        <v>0</v>
      </c>
      <c r="E129" s="1555">
        <v>0</v>
      </c>
      <c r="L129" s="465"/>
    </row>
    <row r="130" spans="1:12">
      <c r="A130" s="1598" t="s">
        <v>25</v>
      </c>
      <c r="B130" s="1585">
        <v>3000000</v>
      </c>
      <c r="C130" s="1567">
        <v>3000000</v>
      </c>
      <c r="D130" s="1558">
        <v>4835000</v>
      </c>
      <c r="E130" s="1555">
        <f t="shared" ref="E130:E132" si="10">D130/C130</f>
        <v>1.6116666666666666</v>
      </c>
      <c r="L130" s="465"/>
    </row>
    <row r="131" spans="1:12">
      <c r="A131" s="1598" t="s">
        <v>26</v>
      </c>
      <c r="B131" s="1742">
        <v>0</v>
      </c>
      <c r="C131" s="1768">
        <v>0</v>
      </c>
      <c r="D131" s="1563">
        <v>2895000</v>
      </c>
      <c r="E131" s="1738">
        <v>0</v>
      </c>
      <c r="L131" s="465"/>
    </row>
    <row r="132" spans="1:12" ht="16.5">
      <c r="A132" s="1636" t="s">
        <v>27</v>
      </c>
      <c r="B132" s="1759">
        <f>SUM(B130:B131)</f>
        <v>3000000</v>
      </c>
      <c r="C132" s="1760">
        <f>SUM(C130:C131)</f>
        <v>3000000</v>
      </c>
      <c r="D132" s="1764">
        <f>SUM(D130:D131)</f>
        <v>7730000</v>
      </c>
      <c r="E132" s="1555">
        <f t="shared" si="10"/>
        <v>2.5766666666666667</v>
      </c>
      <c r="L132" s="465"/>
    </row>
    <row r="133" spans="1:12">
      <c r="A133" s="1598"/>
      <c r="B133" s="1566"/>
      <c r="C133" s="1567"/>
      <c r="D133" s="1568"/>
      <c r="E133" s="1555"/>
      <c r="L133" s="465"/>
    </row>
    <row r="134" spans="1:12">
      <c r="A134" s="1546" t="s">
        <v>28</v>
      </c>
      <c r="B134" s="1571"/>
      <c r="C134" s="1572"/>
      <c r="D134" s="1568"/>
      <c r="E134" s="1555"/>
      <c r="L134" s="465"/>
    </row>
    <row r="135" spans="1:12">
      <c r="A135" s="113" t="s">
        <v>1604</v>
      </c>
      <c r="B135" s="1571">
        <v>0</v>
      </c>
      <c r="C135" s="1572">
        <v>0</v>
      </c>
      <c r="D135" s="1573">
        <v>0</v>
      </c>
      <c r="E135" s="1555">
        <v>0</v>
      </c>
      <c r="L135" s="465"/>
    </row>
    <row r="136" spans="1:12">
      <c r="A136" s="113" t="s">
        <v>29</v>
      </c>
      <c r="B136" s="1571">
        <v>0</v>
      </c>
      <c r="C136" s="1572">
        <v>0</v>
      </c>
      <c r="D136" s="1573">
        <v>0</v>
      </c>
      <c r="E136" s="1555">
        <v>0</v>
      </c>
      <c r="L136" s="465"/>
    </row>
    <row r="137" spans="1:12">
      <c r="A137" s="113" t="s">
        <v>1592</v>
      </c>
      <c r="B137" s="1739">
        <v>0</v>
      </c>
      <c r="C137" s="1740">
        <v>0</v>
      </c>
      <c r="D137" s="1737">
        <f>658000+211000+100000</f>
        <v>969000</v>
      </c>
      <c r="E137" s="1738">
        <v>0</v>
      </c>
      <c r="L137" s="465"/>
    </row>
    <row r="138" spans="1:12">
      <c r="A138" s="1613" t="s">
        <v>30</v>
      </c>
      <c r="B138" s="1765">
        <f>SUM(B135:B137)</f>
        <v>0</v>
      </c>
      <c r="C138" s="1766">
        <v>0</v>
      </c>
      <c r="D138" s="1767">
        <f>SUM(D135:D137)</f>
        <v>969000</v>
      </c>
      <c r="E138" s="1555">
        <v>0</v>
      </c>
    </row>
    <row r="139" spans="1:12">
      <c r="B139" s="1571"/>
      <c r="C139" s="1567"/>
      <c r="D139" s="1568"/>
      <c r="E139" s="1555"/>
    </row>
    <row r="140" spans="1:12">
      <c r="A140" s="1546" t="s">
        <v>31</v>
      </c>
      <c r="B140" s="1571"/>
      <c r="C140" s="1551"/>
      <c r="D140" s="1568"/>
      <c r="E140" s="1555"/>
    </row>
    <row r="141" spans="1:12">
      <c r="A141" s="1637" t="s">
        <v>1593</v>
      </c>
      <c r="B141" s="1556">
        <v>3500000</v>
      </c>
      <c r="C141" s="1567">
        <v>3500000</v>
      </c>
      <c r="D141" s="1568">
        <v>2753000</v>
      </c>
      <c r="E141" s="1555">
        <f>D141/C141</f>
        <v>0.78657142857142859</v>
      </c>
    </row>
    <row r="142" spans="1:12">
      <c r="A142" s="113" t="s">
        <v>1594</v>
      </c>
      <c r="B142" s="1742">
        <v>0</v>
      </c>
      <c r="C142" s="1743">
        <v>0</v>
      </c>
      <c r="D142" s="1744">
        <v>0</v>
      </c>
      <c r="E142" s="1738">
        <v>0</v>
      </c>
    </row>
    <row r="143" spans="1:12" ht="16.5">
      <c r="A143" s="1613" t="s">
        <v>32</v>
      </c>
      <c r="B143" s="1762">
        <f>SUM(B141:B142)</f>
        <v>3500000</v>
      </c>
      <c r="C143" s="1760">
        <f>SUM(C141:C142)</f>
        <v>3500000</v>
      </c>
      <c r="D143" s="1761">
        <f>SUM(D141:D142)</f>
        <v>2753000</v>
      </c>
      <c r="E143" s="1555">
        <f t="shared" ref="E143" si="11">D143/C143</f>
        <v>0.78657142857142859</v>
      </c>
    </row>
    <row r="144" spans="1:12" s="1545" customFormat="1" ht="14.25">
      <c r="A144" s="1546"/>
      <c r="B144" s="1638"/>
      <c r="C144" s="1639"/>
      <c r="D144" s="1640"/>
      <c r="E144" s="1618"/>
    </row>
    <row r="145" spans="1:5" ht="15.75" thickBot="1">
      <c r="A145" s="1641"/>
      <c r="B145" s="1582"/>
      <c r="C145" s="1583"/>
      <c r="D145" s="1584"/>
      <c r="E145" s="1565"/>
    </row>
    <row r="146" spans="1:5" ht="16.5" thickTop="1" thickBot="1">
      <c r="A146" s="1642" t="s">
        <v>33</v>
      </c>
      <c r="B146" s="1594">
        <f>B88+B94+B111+B126+B132+B138+B143</f>
        <v>2924797000</v>
      </c>
      <c r="C146" s="1595">
        <f>C88+C94+C111+C126+C132+C138+C143</f>
        <v>3033934000</v>
      </c>
      <c r="D146" s="1596">
        <f>D88+D94+D111+D126+D132+D138+D143</f>
        <v>2650907387</v>
      </c>
      <c r="E146" s="1565">
        <f>D146/C146</f>
        <v>0.87375249000143052</v>
      </c>
    </row>
    <row r="147" spans="1:5" ht="15.75" thickTop="1">
      <c r="B147" s="1585"/>
      <c r="C147" s="1586"/>
      <c r="D147" s="1587"/>
      <c r="E147" s="1555"/>
    </row>
    <row r="148" spans="1:5">
      <c r="A148" s="1546" t="s">
        <v>34</v>
      </c>
      <c r="E148" s="1618"/>
    </row>
    <row r="149" spans="1:5" ht="20.25" customHeight="1">
      <c r="A149" s="1637" t="s">
        <v>35</v>
      </c>
      <c r="B149" s="1585">
        <v>2536320000</v>
      </c>
      <c r="C149" s="1586">
        <v>3248812000</v>
      </c>
      <c r="D149" s="1587">
        <v>3248812000</v>
      </c>
      <c r="E149" s="1618">
        <f>D149/C149</f>
        <v>1</v>
      </c>
    </row>
    <row r="150" spans="1:5" ht="20.25" customHeight="1">
      <c r="A150" s="1637" t="s">
        <v>1753</v>
      </c>
      <c r="B150" s="1742">
        <v>0</v>
      </c>
      <c r="C150" s="1736">
        <v>298781000</v>
      </c>
      <c r="D150" s="1737">
        <v>298781000</v>
      </c>
      <c r="E150" s="1835">
        <f>D150/C150</f>
        <v>1</v>
      </c>
    </row>
    <row r="151" spans="1:5">
      <c r="A151" s="1613" t="s">
        <v>36</v>
      </c>
      <c r="B151" s="1630">
        <f>SUM(B149)</f>
        <v>2536320000</v>
      </c>
      <c r="C151" s="1600">
        <f>SUM(C149:C150)</f>
        <v>3547593000</v>
      </c>
      <c r="D151" s="1601">
        <f>SUM(D149:D150)</f>
        <v>3547593000</v>
      </c>
      <c r="E151" s="1618">
        <f>D151/C151</f>
        <v>1</v>
      </c>
    </row>
    <row r="152" spans="1:5">
      <c r="A152" s="1643"/>
      <c r="B152" s="1571"/>
      <c r="E152" s="1618"/>
    </row>
    <row r="153" spans="1:5" ht="2.25" customHeight="1">
      <c r="A153" s="1644"/>
      <c r="B153" s="1645"/>
      <c r="C153" s="1646"/>
      <c r="D153" s="1647"/>
      <c r="E153" s="1618"/>
    </row>
    <row r="154" spans="1:5" ht="32.25" customHeight="1" thickBot="1">
      <c r="A154" s="1773" t="s">
        <v>37</v>
      </c>
      <c r="B154" s="1774">
        <f>B146+B151</f>
        <v>5461117000</v>
      </c>
      <c r="C154" s="1775">
        <f>C146+C151</f>
        <v>6581527000</v>
      </c>
      <c r="D154" s="1776">
        <f>D146+D151</f>
        <v>6198500387</v>
      </c>
      <c r="E154" s="1777">
        <f>D154/C154</f>
        <v>0.94180277418902936</v>
      </c>
    </row>
  </sheetData>
  <mergeCells count="1">
    <mergeCell ref="A1:E1"/>
  </mergeCells>
  <printOptions headings="1"/>
  <pageMargins left="0.39370078740157483" right="0.39370078740157483" top="0.59055118110236227" bottom="0.39370078740157483" header="0.11811023622047245" footer="0.51181102362204722"/>
  <pageSetup paperSize="9" scale="61" firstPageNumber="0" orientation="portrait" r:id="rId1"/>
  <headerFooter>
    <oddHeader>&amp;R&amp;A melléklet a /2026.(V.28.) önkormányzati rendelethez/ &amp;P.oldal</oddHeader>
  </headerFooter>
  <rowBreaks count="2" manualBreakCount="2">
    <brk id="63" max="4" man="1"/>
    <brk id="13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MK31"/>
  <sheetViews>
    <sheetView zoomScale="98" zoomScaleNormal="98" workbookViewId="0">
      <selection activeCell="O3" sqref="O3:V3"/>
    </sheetView>
  </sheetViews>
  <sheetFormatPr defaultRowHeight="15.75"/>
  <cols>
    <col min="1" max="1" width="3.28515625" style="17"/>
    <col min="2" max="2" width="61.28515625" style="17"/>
    <col min="3" max="3" width="11.42578125" style="17"/>
    <col min="4" max="4" width="12.5703125" style="17"/>
    <col min="5" max="5" width="10.28515625" style="17"/>
    <col min="6" max="6" width="11.5703125" style="17" customWidth="1"/>
    <col min="7" max="7" width="10.5703125" style="17" customWidth="1"/>
    <col min="8" max="8" width="10.140625" style="17"/>
    <col min="9" max="9" width="11.85546875" style="17" customWidth="1"/>
    <col min="10" max="10" width="12" style="17" customWidth="1"/>
    <col min="11" max="11" width="11.28515625" style="17"/>
    <col min="12" max="12" width="11.85546875" style="17" customWidth="1"/>
    <col min="13" max="13" width="12.42578125" style="17" customWidth="1"/>
    <col min="14" max="14" width="11.5703125" style="17"/>
    <col min="15" max="15" width="3.28515625" style="17"/>
    <col min="16" max="16" width="61.28515625" style="17"/>
    <col min="17" max="17" width="11.7109375" style="17"/>
    <col min="18" max="18" width="12.140625" style="17"/>
    <col min="19" max="19" width="12" style="17" bestFit="1" customWidth="1"/>
    <col min="20" max="20" width="11.85546875" style="17" customWidth="1"/>
    <col min="21" max="21" width="12" style="17" customWidth="1"/>
    <col min="22" max="22" width="12.85546875" style="17"/>
    <col min="23" max="23" width="9.85546875" style="17"/>
    <col min="24" max="24" width="17.28515625" style="17"/>
    <col min="25" max="25" width="13.140625" style="17"/>
    <col min="26" max="26" width="10.85546875" style="17"/>
    <col min="27" max="1025" width="9.140625" style="17"/>
  </cols>
  <sheetData>
    <row r="1" spans="1:1024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>
      <c r="A2"/>
      <c r="B2"/>
      <c r="C2"/>
      <c r="D2"/>
      <c r="E2"/>
      <c r="F2"/>
      <c r="G2"/>
      <c r="H2"/>
      <c r="I2"/>
      <c r="J2"/>
      <c r="K2"/>
      <c r="L2" s="18"/>
      <c r="M2" s="18"/>
      <c r="N2" s="18"/>
      <c r="O2" s="18"/>
      <c r="P2" s="18"/>
      <c r="Q2" s="18"/>
      <c r="R2" s="18"/>
      <c r="S2" s="18"/>
      <c r="T2" s="18"/>
      <c r="U2" s="18"/>
      <c r="V2"/>
      <c r="W2" s="18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20.25">
      <c r="A3" s="2012" t="s">
        <v>2245</v>
      </c>
      <c r="B3" s="2012"/>
      <c r="C3" s="2012"/>
      <c r="D3" s="2012"/>
      <c r="E3" s="2012"/>
      <c r="F3" s="2012"/>
      <c r="G3" s="2012"/>
      <c r="H3" s="2012"/>
      <c r="I3" s="2012"/>
      <c r="J3" s="2012"/>
      <c r="K3" s="2012"/>
      <c r="L3" s="2012"/>
      <c r="M3" s="2012"/>
      <c r="N3" s="2012"/>
      <c r="O3" s="2012" t="s">
        <v>2245</v>
      </c>
      <c r="P3" s="2012"/>
      <c r="Q3" s="2012"/>
      <c r="R3" s="2012"/>
      <c r="S3" s="2012"/>
      <c r="T3" s="2012"/>
      <c r="U3" s="2012"/>
      <c r="V3" s="2012"/>
      <c r="W3" s="19"/>
      <c r="X3" s="19"/>
      <c r="Y3" s="19"/>
      <c r="Z3" s="19"/>
      <c r="AA3" s="20"/>
      <c r="AB3" s="20"/>
      <c r="AC3" s="20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6" spans="1:1024">
      <c r="A6"/>
      <c r="B6"/>
      <c r="C6" s="21"/>
      <c r="D6" s="21"/>
      <c r="E6" s="21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 s="22" t="s">
        <v>38</v>
      </c>
      <c r="W6" s="21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s="25" customFormat="1" ht="42.75" customHeight="1">
      <c r="A7" s="23"/>
      <c r="B7" s="1184" t="s">
        <v>39</v>
      </c>
      <c r="C7" s="2013" t="s">
        <v>40</v>
      </c>
      <c r="D7" s="2014"/>
      <c r="E7" s="2015"/>
      <c r="F7" s="2013" t="s">
        <v>41</v>
      </c>
      <c r="G7" s="2014"/>
      <c r="H7" s="2015"/>
      <c r="I7" s="2013" t="s">
        <v>42</v>
      </c>
      <c r="J7" s="2014"/>
      <c r="K7" s="2015"/>
      <c r="L7" s="2016" t="s">
        <v>43</v>
      </c>
      <c r="M7" s="2017"/>
      <c r="N7" s="2018"/>
      <c r="O7" s="1223"/>
      <c r="P7" s="23" t="s">
        <v>39</v>
      </c>
      <c r="Q7" s="2017" t="s">
        <v>44</v>
      </c>
      <c r="R7" s="2017"/>
      <c r="S7" s="2019"/>
      <c r="T7" s="2020" t="s">
        <v>45</v>
      </c>
      <c r="U7" s="2017"/>
      <c r="V7" s="2019"/>
      <c r="W7" s="15"/>
      <c r="X7" s="24"/>
    </row>
    <row r="8" spans="1:1024" s="31" customFormat="1" ht="30.75" customHeight="1">
      <c r="A8" s="26"/>
      <c r="B8" s="1185"/>
      <c r="C8" s="1192" t="s">
        <v>46</v>
      </c>
      <c r="D8" s="28" t="s">
        <v>47</v>
      </c>
      <c r="E8" s="1193" t="s">
        <v>48</v>
      </c>
      <c r="F8" s="1192" t="s">
        <v>46</v>
      </c>
      <c r="G8" s="28" t="s">
        <v>47</v>
      </c>
      <c r="H8" s="1193" t="s">
        <v>48</v>
      </c>
      <c r="I8" s="1192" t="s">
        <v>46</v>
      </c>
      <c r="J8" s="28" t="s">
        <v>47</v>
      </c>
      <c r="K8" s="1193" t="s">
        <v>48</v>
      </c>
      <c r="L8" s="1192" t="s">
        <v>46</v>
      </c>
      <c r="M8" s="28" t="s">
        <v>47</v>
      </c>
      <c r="N8" s="1193" t="s">
        <v>48</v>
      </c>
      <c r="O8" s="1224"/>
      <c r="P8" s="27"/>
      <c r="Q8" s="28" t="s">
        <v>46</v>
      </c>
      <c r="R8" s="28" t="s">
        <v>47</v>
      </c>
      <c r="S8" s="1876" t="s">
        <v>48</v>
      </c>
      <c r="T8" s="1877" t="s">
        <v>46</v>
      </c>
      <c r="U8" s="28" t="s">
        <v>47</v>
      </c>
      <c r="V8" s="1876" t="s">
        <v>48</v>
      </c>
      <c r="W8" s="29"/>
      <c r="X8" s="30"/>
    </row>
    <row r="9" spans="1:1024" ht="21.95" customHeight="1">
      <c r="A9" s="32" t="s">
        <v>49</v>
      </c>
      <c r="B9" s="1186" t="s">
        <v>50</v>
      </c>
      <c r="C9" s="1194">
        <v>1705000</v>
      </c>
      <c r="D9" s="34">
        <v>7280000</v>
      </c>
      <c r="E9" s="1195">
        <v>6840000</v>
      </c>
      <c r="F9" s="1194">
        <v>3057000</v>
      </c>
      <c r="G9" s="34">
        <v>13091000</v>
      </c>
      <c r="H9" s="1195">
        <v>13599000</v>
      </c>
      <c r="I9" s="1194">
        <v>1672000</v>
      </c>
      <c r="J9" s="35">
        <v>17393000</v>
      </c>
      <c r="K9" s="1209">
        <v>18103000</v>
      </c>
      <c r="L9" s="1200"/>
      <c r="M9" s="37"/>
      <c r="N9" s="1233"/>
      <c r="O9" s="1225" t="s">
        <v>49</v>
      </c>
      <c r="P9" s="33" t="s">
        <v>50</v>
      </c>
      <c r="Q9" s="38">
        <v>663968000</v>
      </c>
      <c r="R9" s="38">
        <v>849694000</v>
      </c>
      <c r="S9" s="1782">
        <v>826088000</v>
      </c>
      <c r="T9" s="1878">
        <f t="shared" ref="T9:U11" si="0">SUM(C9,F9,I9,L9,Q9)</f>
        <v>670402000</v>
      </c>
      <c r="U9" s="38">
        <f t="shared" si="0"/>
        <v>887458000</v>
      </c>
      <c r="V9" s="1879">
        <f>SUM(E9,H9,K9,N9,S9,)</f>
        <v>864630000</v>
      </c>
      <c r="W9" s="39"/>
      <c r="X9" s="40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21.95" customHeight="1">
      <c r="A10" s="32" t="s">
        <v>51</v>
      </c>
      <c r="B10" s="195" t="s">
        <v>52</v>
      </c>
      <c r="C10" s="1194"/>
      <c r="D10" s="34"/>
      <c r="E10" s="1195"/>
      <c r="F10" s="1194"/>
      <c r="G10" s="34"/>
      <c r="H10" s="1195"/>
      <c r="I10" s="1194">
        <v>0</v>
      </c>
      <c r="J10" s="35">
        <v>841000</v>
      </c>
      <c r="K10" s="1209">
        <v>841000</v>
      </c>
      <c r="L10" s="1200"/>
      <c r="M10" s="36"/>
      <c r="N10" s="1201"/>
      <c r="O10" s="1225" t="s">
        <v>51</v>
      </c>
      <c r="P10" s="41" t="s">
        <v>52</v>
      </c>
      <c r="Q10" s="38">
        <v>554997000</v>
      </c>
      <c r="R10" s="38">
        <v>554997000</v>
      </c>
      <c r="S10" s="1782">
        <v>160899000</v>
      </c>
      <c r="T10" s="1878">
        <f t="shared" si="0"/>
        <v>554997000</v>
      </c>
      <c r="U10" s="38">
        <f t="shared" si="0"/>
        <v>555838000</v>
      </c>
      <c r="V10" s="1879">
        <f>SUM(E10,H10,K10,N10,S10,)</f>
        <v>161740000</v>
      </c>
      <c r="W10" s="29"/>
      <c r="X10" s="4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21.95" customHeight="1" thickBot="1">
      <c r="A11" s="43" t="s">
        <v>53</v>
      </c>
      <c r="B11" s="1" t="s">
        <v>54</v>
      </c>
      <c r="C11" s="1196"/>
      <c r="D11" s="54"/>
      <c r="E11" s="1197"/>
      <c r="F11" s="1196"/>
      <c r="G11" s="54"/>
      <c r="H11" s="1197"/>
      <c r="I11" s="1196"/>
      <c r="J11" s="45"/>
      <c r="K11" s="1219"/>
      <c r="L11" s="1202">
        <v>0</v>
      </c>
      <c r="M11" s="44">
        <v>0</v>
      </c>
      <c r="N11" s="1234">
        <v>50000</v>
      </c>
      <c r="O11" s="1226" t="s">
        <v>53</v>
      </c>
      <c r="P11" s="1" t="s">
        <v>54</v>
      </c>
      <c r="Q11" s="55">
        <f>+'1.'!B111</f>
        <v>1350500000</v>
      </c>
      <c r="R11" s="55">
        <f>+'1.'!C111</f>
        <v>1226439000</v>
      </c>
      <c r="S11" s="1783">
        <v>1180861000</v>
      </c>
      <c r="T11" s="1880">
        <f t="shared" si="0"/>
        <v>1350500000</v>
      </c>
      <c r="U11" s="55">
        <f t="shared" si="0"/>
        <v>1226439000</v>
      </c>
      <c r="V11" s="1881">
        <f>SUM(E11,H11,K11,N11,S11,)</f>
        <v>1180911000</v>
      </c>
      <c r="W11" s="29"/>
      <c r="X11" s="40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21.95" customHeight="1" thickTop="1" thickBot="1">
      <c r="A12" s="1179" t="s">
        <v>55</v>
      </c>
      <c r="B12" s="1187" t="s">
        <v>56</v>
      </c>
      <c r="C12" s="1778">
        <f>SUM(C14:C23)</f>
        <v>82184000</v>
      </c>
      <c r="D12" s="1780">
        <f>SUM(D14:D23)</f>
        <v>83770000</v>
      </c>
      <c r="E12" s="1779">
        <f>SUM(E13:E23)</f>
        <v>87676263</v>
      </c>
      <c r="F12" s="1778"/>
      <c r="G12" s="1780">
        <f t="shared" ref="G12:N12" si="1">SUM(G13:G23)</f>
        <v>0</v>
      </c>
      <c r="H12" s="1779">
        <f t="shared" si="1"/>
        <v>1154000</v>
      </c>
      <c r="I12" s="1778">
        <f t="shared" si="1"/>
        <v>19020000</v>
      </c>
      <c r="J12" s="1780">
        <f t="shared" si="1"/>
        <v>23220000</v>
      </c>
      <c r="K12" s="1779">
        <f t="shared" si="1"/>
        <v>30696124</v>
      </c>
      <c r="L12" s="1778">
        <f t="shared" si="1"/>
        <v>1153000</v>
      </c>
      <c r="M12" s="1780">
        <f t="shared" si="1"/>
        <v>1153000</v>
      </c>
      <c r="N12" s="1779">
        <f t="shared" si="1"/>
        <v>1967000</v>
      </c>
      <c r="O12" s="1227" t="s">
        <v>55</v>
      </c>
      <c r="P12" s="1187" t="s">
        <v>56</v>
      </c>
      <c r="Q12" s="1781">
        <f>SUM(Q13:Q23)</f>
        <v>240041000</v>
      </c>
      <c r="R12" s="1781">
        <f t="shared" ref="R12:U12" si="2">SUM(R13:R23)</f>
        <v>249558000</v>
      </c>
      <c r="S12" s="1784">
        <f t="shared" si="2"/>
        <v>310681000</v>
      </c>
      <c r="T12" s="1882">
        <f t="shared" si="2"/>
        <v>342398000</v>
      </c>
      <c r="U12" s="1781">
        <f t="shared" si="2"/>
        <v>357701000</v>
      </c>
      <c r="V12" s="1883">
        <f>SUM(V13:V23)</f>
        <v>432174387</v>
      </c>
      <c r="W12" s="29"/>
      <c r="X12" s="40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16.5" thickTop="1">
      <c r="A13" s="1170"/>
      <c r="B13" s="1180" t="s">
        <v>13</v>
      </c>
      <c r="C13" s="1198"/>
      <c r="D13" s="1178"/>
      <c r="E13" s="1199"/>
      <c r="F13" s="1198"/>
      <c r="G13" s="1178"/>
      <c r="H13" s="1215"/>
      <c r="I13" s="1220"/>
      <c r="J13" s="1173"/>
      <c r="K13" s="1215">
        <v>0</v>
      </c>
      <c r="L13" s="1198"/>
      <c r="M13" s="1178"/>
      <c r="N13" s="1199"/>
      <c r="O13" s="1228"/>
      <c r="P13" s="1180" t="s">
        <v>13</v>
      </c>
      <c r="Q13" s="1173"/>
      <c r="R13" s="1173"/>
      <c r="S13" s="1785"/>
      <c r="T13" s="1884">
        <f t="shared" ref="T13:T26" si="3">SUM(C13,F13,I13,L13,Q13)</f>
        <v>0</v>
      </c>
      <c r="U13" s="1173">
        <f t="shared" ref="U13:U26" si="4">SUM(D13,G13,J13,M13,R13)</f>
        <v>0</v>
      </c>
      <c r="V13" s="1885">
        <f t="shared" ref="V13:V26" si="5">SUM(E13,H13,K13,N13,S13)</f>
        <v>0</v>
      </c>
      <c r="W13" s="29"/>
      <c r="X13" s="40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21.95" customHeight="1">
      <c r="A14" s="32"/>
      <c r="B14" s="1181" t="s">
        <v>14</v>
      </c>
      <c r="C14" s="1200">
        <v>2240000</v>
      </c>
      <c r="D14" s="36">
        <v>2240000</v>
      </c>
      <c r="E14" s="1201">
        <v>4325000</v>
      </c>
      <c r="F14" s="1208"/>
      <c r="G14" s="35"/>
      <c r="H14" s="1201"/>
      <c r="I14" s="1200">
        <v>14240000</v>
      </c>
      <c r="J14" s="36">
        <v>17240000</v>
      </c>
      <c r="K14" s="1201">
        <v>22688000</v>
      </c>
      <c r="L14" s="1200">
        <v>1000000</v>
      </c>
      <c r="M14" s="36">
        <v>1000000</v>
      </c>
      <c r="N14" s="1201">
        <v>455000</v>
      </c>
      <c r="O14" s="1225"/>
      <c r="P14" s="1181" t="s">
        <v>14</v>
      </c>
      <c r="Q14" s="38">
        <v>8489000</v>
      </c>
      <c r="R14" s="38">
        <v>8489000</v>
      </c>
      <c r="S14" s="1782">
        <v>10869000</v>
      </c>
      <c r="T14" s="1878">
        <f t="shared" si="3"/>
        <v>25969000</v>
      </c>
      <c r="U14" s="38">
        <f t="shared" si="4"/>
        <v>28969000</v>
      </c>
      <c r="V14" s="1886">
        <f t="shared" si="5"/>
        <v>38337000</v>
      </c>
      <c r="W14" s="39"/>
      <c r="X14" s="40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>
      <c r="A15" s="32"/>
      <c r="B15" s="1181" t="s">
        <v>15</v>
      </c>
      <c r="C15" s="1200">
        <v>34000</v>
      </c>
      <c r="D15" s="36">
        <v>34000</v>
      </c>
      <c r="E15" s="1201">
        <v>33000</v>
      </c>
      <c r="F15" s="1200"/>
      <c r="G15" s="36"/>
      <c r="H15" s="1201"/>
      <c r="I15" s="1200">
        <v>2000000</v>
      </c>
      <c r="J15" s="36">
        <v>2000000</v>
      </c>
      <c r="K15" s="1201">
        <v>2007000</v>
      </c>
      <c r="L15" s="1200">
        <v>120000</v>
      </c>
      <c r="M15" s="36">
        <v>120000</v>
      </c>
      <c r="N15" s="1201">
        <v>68000</v>
      </c>
      <c r="O15" s="1225"/>
      <c r="P15" s="1181" t="s">
        <v>15</v>
      </c>
      <c r="Q15" s="38">
        <v>21609000</v>
      </c>
      <c r="R15" s="38">
        <v>21609000</v>
      </c>
      <c r="S15" s="1782">
        <v>14886000</v>
      </c>
      <c r="T15" s="1878">
        <f>C15+F15+I15+L15+Q15</f>
        <v>23763000</v>
      </c>
      <c r="U15" s="38">
        <f t="shared" si="4"/>
        <v>23763000</v>
      </c>
      <c r="V15" s="1886">
        <f t="shared" si="5"/>
        <v>16994000</v>
      </c>
      <c r="W15" s="39"/>
      <c r="X15" s="40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21.95" customHeight="1">
      <c r="A16" s="42"/>
      <c r="B16" s="1181" t="s">
        <v>16</v>
      </c>
      <c r="C16" s="1200">
        <v>0</v>
      </c>
      <c r="D16" s="36"/>
      <c r="E16" s="1201"/>
      <c r="F16" s="1208"/>
      <c r="G16" s="35"/>
      <c r="H16" s="1201"/>
      <c r="I16" s="1200"/>
      <c r="J16" s="36"/>
      <c r="K16" s="1201"/>
      <c r="L16" s="1200"/>
      <c r="M16" s="36"/>
      <c r="N16" s="1201">
        <v>1260000</v>
      </c>
      <c r="O16" s="1229"/>
      <c r="P16" s="1181" t="s">
        <v>16</v>
      </c>
      <c r="Q16" s="38">
        <v>63798000</v>
      </c>
      <c r="R16" s="38">
        <v>63798000</v>
      </c>
      <c r="S16" s="1782">
        <v>74054000</v>
      </c>
      <c r="T16" s="1878">
        <f t="shared" si="3"/>
        <v>63798000</v>
      </c>
      <c r="U16" s="38">
        <f t="shared" si="4"/>
        <v>63798000</v>
      </c>
      <c r="V16" s="1886">
        <f t="shared" si="5"/>
        <v>75314000</v>
      </c>
      <c r="W16" s="39"/>
      <c r="X16" s="40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21.95" customHeight="1">
      <c r="A17" s="42"/>
      <c r="B17" s="1181" t="s">
        <v>17</v>
      </c>
      <c r="C17" s="1200">
        <v>62209000</v>
      </c>
      <c r="D17" s="36">
        <v>62209000</v>
      </c>
      <c r="E17" s="1201">
        <v>61031000</v>
      </c>
      <c r="F17" s="1208"/>
      <c r="G17" s="35"/>
      <c r="H17" s="1201"/>
      <c r="I17" s="1200"/>
      <c r="J17" s="36"/>
      <c r="K17" s="1201"/>
      <c r="L17" s="1200"/>
      <c r="M17" s="36"/>
      <c r="N17" s="1201"/>
      <c r="O17" s="1229"/>
      <c r="P17" s="1181" t="s">
        <v>17</v>
      </c>
      <c r="Q17" s="38"/>
      <c r="R17" s="38"/>
      <c r="S17" s="1782"/>
      <c r="T17" s="1878">
        <f t="shared" si="3"/>
        <v>62209000</v>
      </c>
      <c r="U17" s="38">
        <f t="shared" si="4"/>
        <v>62209000</v>
      </c>
      <c r="V17" s="1886">
        <f t="shared" si="5"/>
        <v>61031000</v>
      </c>
      <c r="W17" s="39"/>
      <c r="X17" s="40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21.95" customHeight="1">
      <c r="A18" s="32"/>
      <c r="B18" s="1181" t="s">
        <v>2151</v>
      </c>
      <c r="C18" s="1200">
        <v>17101000</v>
      </c>
      <c r="D18" s="36">
        <v>17101000</v>
      </c>
      <c r="E18" s="1201">
        <v>17294000</v>
      </c>
      <c r="F18" s="1208"/>
      <c r="G18" s="36"/>
      <c r="H18" s="1201">
        <v>0</v>
      </c>
      <c r="I18" s="1200">
        <v>2780000</v>
      </c>
      <c r="J18" s="36">
        <v>3590000</v>
      </c>
      <c r="K18" s="1201">
        <v>4236000</v>
      </c>
      <c r="L18" s="1200">
        <v>33000</v>
      </c>
      <c r="M18" s="36">
        <v>33000</v>
      </c>
      <c r="N18" s="1201">
        <v>18000</v>
      </c>
      <c r="O18" s="1225"/>
      <c r="P18" s="1181" t="s">
        <v>2151</v>
      </c>
      <c r="Q18" s="38">
        <v>6901000</v>
      </c>
      <c r="R18" s="38">
        <v>6901000</v>
      </c>
      <c r="S18" s="1782">
        <v>15828000</v>
      </c>
      <c r="T18" s="1878">
        <f t="shared" si="3"/>
        <v>26815000</v>
      </c>
      <c r="U18" s="38">
        <f t="shared" si="4"/>
        <v>27625000</v>
      </c>
      <c r="V18" s="1886">
        <f t="shared" si="5"/>
        <v>37376000</v>
      </c>
      <c r="W18" s="39"/>
      <c r="X18" s="40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21.95" customHeight="1">
      <c r="A19" s="32"/>
      <c r="B19" s="1181" t="s">
        <v>19</v>
      </c>
      <c r="C19" s="1200">
        <v>0</v>
      </c>
      <c r="D19" s="36">
        <v>1586000</v>
      </c>
      <c r="E19" s="1201">
        <v>1749000</v>
      </c>
      <c r="F19" s="1208"/>
      <c r="G19" s="35"/>
      <c r="H19" s="1201"/>
      <c r="I19" s="1200">
        <v>0</v>
      </c>
      <c r="J19" s="36">
        <v>390000</v>
      </c>
      <c r="K19" s="1201">
        <v>1441000</v>
      </c>
      <c r="L19" s="1200"/>
      <c r="M19" s="36"/>
      <c r="N19" s="1201"/>
      <c r="O19" s="1225"/>
      <c r="P19" s="1181" t="s">
        <v>19</v>
      </c>
      <c r="Q19" s="38">
        <v>34244000</v>
      </c>
      <c r="R19" s="38">
        <v>34244000</v>
      </c>
      <c r="S19" s="1782">
        <v>0</v>
      </c>
      <c r="T19" s="1878">
        <f t="shared" si="3"/>
        <v>34244000</v>
      </c>
      <c r="U19" s="38">
        <f t="shared" si="4"/>
        <v>36220000</v>
      </c>
      <c r="V19" s="1886">
        <f t="shared" si="5"/>
        <v>3190000</v>
      </c>
      <c r="W19" s="39"/>
      <c r="X19" s="40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21.95" customHeight="1">
      <c r="A20" s="43"/>
      <c r="B20" s="1182" t="s">
        <v>2152</v>
      </c>
      <c r="C20" s="1202">
        <v>0</v>
      </c>
      <c r="D20" s="44">
        <v>0</v>
      </c>
      <c r="E20" s="1203">
        <v>368263</v>
      </c>
      <c r="F20" s="1216"/>
      <c r="G20" s="46"/>
      <c r="H20" s="1217"/>
      <c r="I20" s="1221"/>
      <c r="J20" s="47"/>
      <c r="K20" s="1217">
        <v>124</v>
      </c>
      <c r="L20" s="1221"/>
      <c r="M20" s="47"/>
      <c r="N20" s="1201"/>
      <c r="O20" s="1226"/>
      <c r="P20" s="1182" t="s">
        <v>2152</v>
      </c>
      <c r="Q20" s="38">
        <v>100000000</v>
      </c>
      <c r="R20" s="38">
        <v>109517000</v>
      </c>
      <c r="S20" s="1782">
        <v>175335000</v>
      </c>
      <c r="T20" s="1878">
        <f t="shared" si="3"/>
        <v>100000000</v>
      </c>
      <c r="U20" s="38">
        <f t="shared" si="4"/>
        <v>109517000</v>
      </c>
      <c r="V20" s="1886">
        <f>E20+H20+K20+N20+S20</f>
        <v>175703387</v>
      </c>
      <c r="W20" s="39"/>
      <c r="X20" s="4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21.95" customHeight="1">
      <c r="A21" s="43"/>
      <c r="B21" s="1181" t="s">
        <v>20</v>
      </c>
      <c r="C21" s="1200"/>
      <c r="D21" s="36"/>
      <c r="E21" s="1201"/>
      <c r="F21" s="1208"/>
      <c r="G21" s="35"/>
      <c r="H21" s="1201"/>
      <c r="I21" s="1200"/>
      <c r="J21" s="36"/>
      <c r="K21" s="1201"/>
      <c r="L21" s="1200"/>
      <c r="M21" s="36"/>
      <c r="N21" s="1201"/>
      <c r="O21"/>
      <c r="P21" s="1181" t="s">
        <v>20</v>
      </c>
      <c r="Q21" s="38"/>
      <c r="R21" s="38"/>
      <c r="S21" s="1782"/>
      <c r="T21" s="1878">
        <f t="shared" si="3"/>
        <v>0</v>
      </c>
      <c r="U21" s="38">
        <f t="shared" si="4"/>
        <v>0</v>
      </c>
      <c r="V21" s="1886">
        <f t="shared" si="5"/>
        <v>0</v>
      </c>
      <c r="W21" s="39"/>
      <c r="X21" s="40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21.95" customHeight="1">
      <c r="A22" s="43"/>
      <c r="B22" s="1181" t="s">
        <v>2153</v>
      </c>
      <c r="C22" s="1202"/>
      <c r="D22" s="44"/>
      <c r="E22" s="1203"/>
      <c r="F22" s="1216"/>
      <c r="G22" s="45"/>
      <c r="H22" s="1203"/>
      <c r="I22" s="1202"/>
      <c r="J22" s="44"/>
      <c r="K22" s="1203"/>
      <c r="L22" s="1202"/>
      <c r="M22" s="44"/>
      <c r="N22" s="1235"/>
      <c r="O22" s="1226"/>
      <c r="P22" s="1181" t="s">
        <v>2153</v>
      </c>
      <c r="Q22" s="38"/>
      <c r="R22" s="38"/>
      <c r="S22" s="1782">
        <v>408000</v>
      </c>
      <c r="T22" s="1878">
        <f t="shared" si="3"/>
        <v>0</v>
      </c>
      <c r="U22" s="38">
        <f t="shared" si="4"/>
        <v>0</v>
      </c>
      <c r="V22" s="1886">
        <f t="shared" si="5"/>
        <v>408000</v>
      </c>
      <c r="W22" s="39"/>
      <c r="X22" s="40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ht="21.95" customHeight="1" thickBot="1">
      <c r="A23" s="1174"/>
      <c r="B23" s="1188" t="s">
        <v>21</v>
      </c>
      <c r="C23" s="1204">
        <v>600000</v>
      </c>
      <c r="D23" s="1175">
        <v>600000</v>
      </c>
      <c r="E23" s="1205">
        <v>2876000</v>
      </c>
      <c r="F23" s="1218"/>
      <c r="G23" s="1176"/>
      <c r="H23" s="1205">
        <v>1154000</v>
      </c>
      <c r="I23" s="1204"/>
      <c r="J23" s="1175"/>
      <c r="K23" s="1205">
        <v>324000</v>
      </c>
      <c r="L23" s="1204">
        <v>0</v>
      </c>
      <c r="M23" s="1175">
        <v>0</v>
      </c>
      <c r="N23" s="1236">
        <v>166000</v>
      </c>
      <c r="O23" s="1230"/>
      <c r="P23" s="1188" t="s">
        <v>21</v>
      </c>
      <c r="Q23" s="1177">
        <v>5000000</v>
      </c>
      <c r="R23" s="1177">
        <v>5000000</v>
      </c>
      <c r="S23" s="1786">
        <v>19301000</v>
      </c>
      <c r="T23" s="1887">
        <f t="shared" si="3"/>
        <v>5600000</v>
      </c>
      <c r="U23" s="1177">
        <f t="shared" si="4"/>
        <v>5600000</v>
      </c>
      <c r="V23" s="1888">
        <f t="shared" si="5"/>
        <v>23821000</v>
      </c>
      <c r="W23" s="39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ht="21.95" customHeight="1" thickTop="1">
      <c r="A24" s="1170" t="s">
        <v>58</v>
      </c>
      <c r="B24" s="1189" t="s">
        <v>59</v>
      </c>
      <c r="C24" s="1206"/>
      <c r="D24" s="1172"/>
      <c r="E24" s="1207">
        <v>0</v>
      </c>
      <c r="F24" s="1206"/>
      <c r="G24" s="1172"/>
      <c r="H24" s="1207"/>
      <c r="I24" s="1206"/>
      <c r="J24" s="1172"/>
      <c r="K24" s="1207"/>
      <c r="L24" s="1206"/>
      <c r="M24" s="1172"/>
      <c r="N24" s="1207">
        <v>25000</v>
      </c>
      <c r="O24" s="1228" t="s">
        <v>58</v>
      </c>
      <c r="P24" s="1171" t="s">
        <v>59</v>
      </c>
      <c r="Q24" s="1173">
        <v>3000000</v>
      </c>
      <c r="R24" s="1173">
        <v>3000000</v>
      </c>
      <c r="S24" s="1785">
        <v>7705000</v>
      </c>
      <c r="T24" s="1884">
        <f t="shared" si="3"/>
        <v>3000000</v>
      </c>
      <c r="U24" s="1173">
        <f t="shared" si="4"/>
        <v>3000000</v>
      </c>
      <c r="V24" s="1885">
        <f t="shared" si="5"/>
        <v>7730000</v>
      </c>
      <c r="W24" s="39"/>
      <c r="X24" s="40"/>
      <c r="Y24" s="48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21.95" customHeight="1">
      <c r="A25" s="32" t="s">
        <v>60</v>
      </c>
      <c r="B25" s="195" t="s">
        <v>61</v>
      </c>
      <c r="C25" s="1208"/>
      <c r="D25" s="35"/>
      <c r="E25" s="1209"/>
      <c r="F25" s="1208"/>
      <c r="G25" s="35"/>
      <c r="H25" s="1209"/>
      <c r="I25" s="1208"/>
      <c r="J25" s="1222">
        <v>0</v>
      </c>
      <c r="K25" s="1209">
        <v>211000</v>
      </c>
      <c r="L25" s="1208"/>
      <c r="M25" s="35"/>
      <c r="N25" s="1237"/>
      <c r="O25" s="1225" t="s">
        <v>60</v>
      </c>
      <c r="P25" s="41" t="s">
        <v>61</v>
      </c>
      <c r="Q25" s="50">
        <f>'1.'!B138</f>
        <v>0</v>
      </c>
      <c r="R25" s="50"/>
      <c r="S25" s="1787">
        <v>758000</v>
      </c>
      <c r="T25" s="1878">
        <f t="shared" si="3"/>
        <v>0</v>
      </c>
      <c r="U25" s="38">
        <f t="shared" si="4"/>
        <v>0</v>
      </c>
      <c r="V25" s="1886">
        <f t="shared" si="5"/>
        <v>969000</v>
      </c>
      <c r="W25" s="29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s="51" customFormat="1" ht="21.95" customHeight="1">
      <c r="A26" s="32" t="s">
        <v>62</v>
      </c>
      <c r="B26" s="195" t="s">
        <v>63</v>
      </c>
      <c r="C26" s="1194"/>
      <c r="D26" s="34"/>
      <c r="E26" s="1195"/>
      <c r="F26" s="1194"/>
      <c r="G26" s="34"/>
      <c r="H26" s="1195"/>
      <c r="I26" s="1194"/>
      <c r="J26" s="34"/>
      <c r="K26" s="1195"/>
      <c r="L26" s="1194"/>
      <c r="M26" s="205"/>
      <c r="N26" s="1195"/>
      <c r="O26" s="1225" t="s">
        <v>62</v>
      </c>
      <c r="P26" s="41" t="s">
        <v>63</v>
      </c>
      <c r="Q26" s="50">
        <f>'1.'!B143</f>
        <v>3500000</v>
      </c>
      <c r="R26" s="50">
        <f>'1.'!C143</f>
        <v>3500000</v>
      </c>
      <c r="S26" s="1787">
        <f>'1.'!D143</f>
        <v>2753000</v>
      </c>
      <c r="T26" s="1878">
        <f t="shared" si="3"/>
        <v>3500000</v>
      </c>
      <c r="U26" s="38">
        <f t="shared" si="4"/>
        <v>3500000</v>
      </c>
      <c r="V26" s="1886">
        <f t="shared" si="5"/>
        <v>2753000</v>
      </c>
      <c r="W26" s="29"/>
      <c r="X26" s="52"/>
    </row>
    <row r="27" spans="1:1024" ht="21.95" customHeight="1">
      <c r="A27" s="1167"/>
      <c r="B27" s="1190" t="s">
        <v>64</v>
      </c>
      <c r="C27" s="1210">
        <f t="shared" ref="C27:N27" si="6">SUM(C9:C12,C24:C26)</f>
        <v>83889000</v>
      </c>
      <c r="D27" s="1169">
        <f t="shared" si="6"/>
        <v>91050000</v>
      </c>
      <c r="E27" s="1211">
        <f t="shared" si="6"/>
        <v>94516263</v>
      </c>
      <c r="F27" s="1210">
        <f t="shared" si="6"/>
        <v>3057000</v>
      </c>
      <c r="G27" s="1169">
        <f t="shared" si="6"/>
        <v>13091000</v>
      </c>
      <c r="H27" s="1211">
        <f t="shared" si="6"/>
        <v>14753000</v>
      </c>
      <c r="I27" s="1210">
        <f t="shared" si="6"/>
        <v>20692000</v>
      </c>
      <c r="J27" s="1169">
        <f>SUM(J9:J12,J24:J26)</f>
        <v>41454000</v>
      </c>
      <c r="K27" s="1211">
        <f t="shared" si="6"/>
        <v>49851124</v>
      </c>
      <c r="L27" s="1210">
        <f t="shared" si="6"/>
        <v>1153000</v>
      </c>
      <c r="M27" s="1169">
        <f t="shared" si="6"/>
        <v>1153000</v>
      </c>
      <c r="N27" s="1211">
        <f t="shared" si="6"/>
        <v>2042000</v>
      </c>
      <c r="O27" s="1231"/>
      <c r="P27" s="1168" t="s">
        <v>64</v>
      </c>
      <c r="Q27" s="1169">
        <f>SUM(Q9:Q12,Q24:Q26)</f>
        <v>2816006000</v>
      </c>
      <c r="R27" s="1169">
        <f t="shared" ref="R27:U27" si="7">SUM(R9:R12,R24:R26)</f>
        <v>2887188000</v>
      </c>
      <c r="S27" s="1788">
        <f t="shared" si="7"/>
        <v>2489745000</v>
      </c>
      <c r="T27" s="1889">
        <f t="shared" si="7"/>
        <v>2924797000</v>
      </c>
      <c r="U27" s="1169">
        <f t="shared" si="7"/>
        <v>3033936000</v>
      </c>
      <c r="V27" s="1788">
        <f>SUM(V9:V12,V24:V26)</f>
        <v>2650907387</v>
      </c>
      <c r="W27" s="29"/>
      <c r="X27" s="40"/>
    </row>
    <row r="28" spans="1:1024" ht="21.95" customHeight="1">
      <c r="A28" s="43" t="s">
        <v>65</v>
      </c>
      <c r="B28" s="197" t="s">
        <v>66</v>
      </c>
      <c r="C28" s="1196">
        <v>0</v>
      </c>
      <c r="D28" s="55">
        <v>3857000</v>
      </c>
      <c r="E28" s="1212">
        <v>3857000</v>
      </c>
      <c r="F28" s="1196"/>
      <c r="G28" s="55">
        <v>1044000</v>
      </c>
      <c r="H28" s="1212">
        <v>1044000</v>
      </c>
      <c r="I28" s="1196">
        <v>0</v>
      </c>
      <c r="J28" s="55">
        <v>2876000</v>
      </c>
      <c r="K28" s="1212">
        <v>2876000</v>
      </c>
      <c r="L28" s="1238">
        <v>0</v>
      </c>
      <c r="M28" s="55">
        <v>20000</v>
      </c>
      <c r="N28" s="1212">
        <v>20000</v>
      </c>
      <c r="O28" s="1226" t="s">
        <v>65</v>
      </c>
      <c r="P28" s="53" t="s">
        <v>66</v>
      </c>
      <c r="Q28" s="56">
        <v>2536320000</v>
      </c>
      <c r="R28" s="56">
        <v>3539794000</v>
      </c>
      <c r="S28" s="1787">
        <f>3241014000+298780000</f>
        <v>3539794000</v>
      </c>
      <c r="T28" s="1890">
        <f>SUM(C28,F28,I28,L28,Q28)</f>
        <v>2536320000</v>
      </c>
      <c r="U28" s="50">
        <f>SUM(D28,G28,J28,M28,R28)</f>
        <v>3547591000</v>
      </c>
      <c r="V28" s="1891">
        <f>SUM(E28,H28,K28,N28,S28)+2000</f>
        <v>3547593000</v>
      </c>
      <c r="W28" s="29"/>
      <c r="X28" s="40"/>
    </row>
    <row r="29" spans="1:1024" ht="21.95" customHeight="1">
      <c r="A29" s="57"/>
      <c r="B29" s="1191" t="s">
        <v>67</v>
      </c>
      <c r="C29" s="1213">
        <f t="shared" ref="C29:N29" si="8">SUM(C27:C28)</f>
        <v>83889000</v>
      </c>
      <c r="D29" s="59">
        <f t="shared" si="8"/>
        <v>94907000</v>
      </c>
      <c r="E29" s="1214">
        <f t="shared" si="8"/>
        <v>98373263</v>
      </c>
      <c r="F29" s="1213">
        <f t="shared" si="8"/>
        <v>3057000</v>
      </c>
      <c r="G29" s="59">
        <f t="shared" si="8"/>
        <v>14135000</v>
      </c>
      <c r="H29" s="1214">
        <f t="shared" si="8"/>
        <v>15797000</v>
      </c>
      <c r="I29" s="1213">
        <f t="shared" si="8"/>
        <v>20692000</v>
      </c>
      <c r="J29" s="59">
        <f t="shared" si="8"/>
        <v>44330000</v>
      </c>
      <c r="K29" s="1214">
        <f t="shared" si="8"/>
        <v>52727124</v>
      </c>
      <c r="L29" s="1213">
        <f t="shared" si="8"/>
        <v>1153000</v>
      </c>
      <c r="M29" s="59">
        <f t="shared" si="8"/>
        <v>1173000</v>
      </c>
      <c r="N29" s="1214">
        <f t="shared" si="8"/>
        <v>2062000</v>
      </c>
      <c r="O29" s="1232"/>
      <c r="P29" s="58" t="s">
        <v>67</v>
      </c>
      <c r="Q29" s="59">
        <f t="shared" ref="Q29:U29" si="9">SUM(Q27:Q28)</f>
        <v>5352326000</v>
      </c>
      <c r="R29" s="59">
        <f t="shared" si="9"/>
        <v>6426982000</v>
      </c>
      <c r="S29" s="1789">
        <f t="shared" si="9"/>
        <v>6029539000</v>
      </c>
      <c r="T29" s="1892">
        <f t="shared" si="9"/>
        <v>5461117000</v>
      </c>
      <c r="U29" s="1440">
        <f t="shared" si="9"/>
        <v>6581527000</v>
      </c>
      <c r="V29" s="1893">
        <f>SUM(V27:V28)</f>
        <v>6198500387</v>
      </c>
      <c r="W29" s="29"/>
      <c r="X29" s="40"/>
    </row>
    <row r="31" spans="1:1024">
      <c r="T31" s="1452">
        <f>+T29-'1.'!B154</f>
        <v>0</v>
      </c>
      <c r="U31" s="1452">
        <f>+U29-'1.'!C154</f>
        <v>0</v>
      </c>
    </row>
  </sheetData>
  <mergeCells count="8">
    <mergeCell ref="A3:N3"/>
    <mergeCell ref="O3:V3"/>
    <mergeCell ref="C7:E7"/>
    <mergeCell ref="F7:H7"/>
    <mergeCell ref="I7:K7"/>
    <mergeCell ref="L7:N7"/>
    <mergeCell ref="Q7:S7"/>
    <mergeCell ref="T7:V7"/>
  </mergeCells>
  <printOptions headings="1"/>
  <pageMargins left="0.39370078740157483" right="0.19685039370078741" top="0.39370078740157483" bottom="0.39370078740157483" header="0.11811023622047245" footer="0.51181102362204722"/>
  <pageSetup paperSize="9" scale="70" firstPageNumber="0" orientation="landscape" r:id="rId1"/>
  <headerFooter>
    <oddHeader>&amp;R&amp;A melléklet a /2026.(V.28.) önkormányzati rendelethez/ &amp;P.oldal</oddHeader>
  </headerFooter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36"/>
  <sheetViews>
    <sheetView zoomScaleNormal="100" workbookViewId="0">
      <selection activeCell="A3" sqref="A3:F3"/>
    </sheetView>
  </sheetViews>
  <sheetFormatPr defaultRowHeight="12.75"/>
  <cols>
    <col min="1" max="1" width="4.140625" style="60"/>
    <col min="2" max="2" width="39.28515625" style="60"/>
    <col min="3" max="3" width="14.28515625" style="622" bestFit="1" customWidth="1"/>
    <col min="4" max="4" width="12.42578125" style="622" bestFit="1" customWidth="1"/>
    <col min="5" max="5" width="12.42578125" style="622"/>
    <col min="6" max="6" width="10.42578125" style="60"/>
    <col min="7" max="1025" width="8.7109375"/>
  </cols>
  <sheetData>
    <row r="1" spans="1:7" ht="15.75">
      <c r="A1" s="61"/>
      <c r="B1" s="61"/>
      <c r="C1" s="611"/>
      <c r="D1" s="611"/>
      <c r="E1" s="611"/>
      <c r="F1" s="62"/>
      <c r="G1" s="63"/>
    </row>
    <row r="2" spans="1:7" ht="15.75">
      <c r="A2" s="61"/>
      <c r="B2" s="61"/>
      <c r="C2" s="611"/>
      <c r="D2" s="611"/>
      <c r="E2" s="611"/>
      <c r="F2" s="62"/>
      <c r="G2" s="63"/>
    </row>
    <row r="3" spans="1:7" ht="18.75">
      <c r="A3" s="2023" t="s">
        <v>2179</v>
      </c>
      <c r="B3" s="2023"/>
      <c r="C3" s="2023"/>
      <c r="D3" s="2023"/>
      <c r="E3" s="2023"/>
      <c r="F3" s="2023"/>
      <c r="G3" s="63"/>
    </row>
    <row r="4" spans="1:7" ht="18.75">
      <c r="A4" s="64"/>
      <c r="B4" s="64"/>
      <c r="C4" s="612"/>
      <c r="D4" s="612"/>
      <c r="E4" s="612"/>
      <c r="F4" s="65"/>
      <c r="G4" s="63"/>
    </row>
    <row r="5" spans="1:7" ht="18.75">
      <c r="A5" s="64"/>
      <c r="B5" s="64"/>
      <c r="C5" s="612"/>
      <c r="D5" s="612"/>
      <c r="E5" s="612"/>
      <c r="F5" s="65"/>
      <c r="G5" s="63"/>
    </row>
    <row r="6" spans="1:7" ht="15.75">
      <c r="A6" s="66"/>
      <c r="B6" s="66"/>
      <c r="C6" s="613"/>
      <c r="D6" s="613"/>
      <c r="E6" s="613"/>
      <c r="F6" s="62"/>
      <c r="G6" s="63"/>
    </row>
    <row r="7" spans="1:7" ht="15.75">
      <c r="A7" s="66"/>
      <c r="B7" s="67"/>
      <c r="C7" s="613"/>
      <c r="D7" s="611"/>
      <c r="E7" s="614"/>
      <c r="F7" s="68" t="s">
        <v>38</v>
      </c>
      <c r="G7" s="63"/>
    </row>
    <row r="8" spans="1:7" ht="15.75">
      <c r="A8" s="61"/>
      <c r="B8" s="61"/>
      <c r="C8" s="611"/>
      <c r="D8" s="611"/>
      <c r="E8" s="611"/>
      <c r="F8" s="62"/>
      <c r="G8" s="63"/>
    </row>
    <row r="9" spans="1:7" ht="31.5">
      <c r="A9" s="2024" t="s">
        <v>68</v>
      </c>
      <c r="B9" s="2024"/>
      <c r="C9" s="610" t="s">
        <v>46</v>
      </c>
      <c r="D9" s="610" t="s">
        <v>47</v>
      </c>
      <c r="E9" s="610" t="s">
        <v>48</v>
      </c>
      <c r="F9" s="69" t="s">
        <v>1</v>
      </c>
      <c r="G9" s="70"/>
    </row>
    <row r="10" spans="1:7" ht="15.75">
      <c r="A10" s="71"/>
      <c r="B10" s="71"/>
      <c r="C10" s="615"/>
      <c r="D10" s="615"/>
      <c r="E10" s="615"/>
      <c r="F10" s="62"/>
      <c r="G10" s="63"/>
    </row>
    <row r="11" spans="1:7" ht="15.75">
      <c r="A11" s="2025" t="s">
        <v>69</v>
      </c>
      <c r="B11" s="2025"/>
      <c r="C11" s="615"/>
      <c r="D11" s="615"/>
      <c r="E11" s="615"/>
      <c r="F11" s="62"/>
      <c r="G11" s="72"/>
    </row>
    <row r="12" spans="1:7" ht="15.75">
      <c r="A12" s="71" t="s">
        <v>70</v>
      </c>
      <c r="B12" s="61"/>
      <c r="C12" s="615"/>
      <c r="D12" s="615"/>
      <c r="E12" s="615"/>
      <c r="F12" s="62"/>
      <c r="G12" s="72"/>
    </row>
    <row r="13" spans="1:7" ht="15.75">
      <c r="A13" s="71"/>
      <c r="B13" s="73" t="s">
        <v>71</v>
      </c>
      <c r="C13" s="615">
        <f>'4.'!T10</f>
        <v>780301000</v>
      </c>
      <c r="D13" s="615">
        <f>'4.'!U10</f>
        <v>862713798</v>
      </c>
      <c r="E13" s="615">
        <f>'4.'!V10</f>
        <v>846688807</v>
      </c>
      <c r="F13" s="62">
        <f t="shared" ref="F13:F19" si="0">(E13/D13)</f>
        <v>0.98142490471677835</v>
      </c>
      <c r="G13" s="63"/>
    </row>
    <row r="14" spans="1:7" ht="15.75">
      <c r="A14" s="71"/>
      <c r="B14" s="71" t="s">
        <v>72</v>
      </c>
      <c r="C14" s="615">
        <f>'4.'!T11</f>
        <v>105948000</v>
      </c>
      <c r="D14" s="615">
        <f>'4.'!U11</f>
        <v>118155880</v>
      </c>
      <c r="E14" s="615">
        <f>'4.'!V11</f>
        <v>117505688</v>
      </c>
      <c r="F14" s="62">
        <f t="shared" si="0"/>
        <v>0.99449716763990081</v>
      </c>
      <c r="G14" s="63"/>
    </row>
    <row r="15" spans="1:7" ht="15.75">
      <c r="A15" s="71"/>
      <c r="B15" s="71" t="s">
        <v>73</v>
      </c>
      <c r="C15" s="615">
        <f>'4.'!T12</f>
        <v>774693000</v>
      </c>
      <c r="D15" s="615">
        <f>'4.'!U12</f>
        <v>815767015</v>
      </c>
      <c r="E15" s="615">
        <f>'4.'!V12</f>
        <v>560405327</v>
      </c>
      <c r="F15" s="62">
        <f t="shared" si="0"/>
        <v>0.68696737756674309</v>
      </c>
      <c r="G15" s="63"/>
    </row>
    <row r="16" spans="1:7" ht="15.75">
      <c r="A16" s="71"/>
      <c r="B16" s="71" t="s">
        <v>74</v>
      </c>
      <c r="C16" s="615">
        <f>'4.'!T13</f>
        <v>44073000</v>
      </c>
      <c r="D16" s="615">
        <f>'4.'!U13</f>
        <v>43873000</v>
      </c>
      <c r="E16" s="615">
        <f>'4.'!V13</f>
        <v>40748000</v>
      </c>
      <c r="F16" s="62">
        <f t="shared" si="0"/>
        <v>0.92877168190002968</v>
      </c>
      <c r="G16" s="63"/>
    </row>
    <row r="17" spans="1:7" ht="15.75">
      <c r="A17" s="71"/>
      <c r="B17" s="71" t="s">
        <v>75</v>
      </c>
      <c r="C17" s="615">
        <f>'4.'!T14</f>
        <v>504785000</v>
      </c>
      <c r="D17" s="615">
        <f>'4.'!U14</f>
        <v>549509000</v>
      </c>
      <c r="E17" s="615">
        <f>'4.'!V14</f>
        <v>549291000</v>
      </c>
      <c r="F17" s="62">
        <f t="shared" si="0"/>
        <v>0.99960328220283923</v>
      </c>
      <c r="G17" s="63"/>
    </row>
    <row r="18" spans="1:7" ht="15.75">
      <c r="A18" s="71"/>
      <c r="B18" s="71" t="s">
        <v>76</v>
      </c>
      <c r="C18" s="615">
        <f>'4.'!T15</f>
        <v>276580000</v>
      </c>
      <c r="D18" s="615">
        <f>'4.'!U15</f>
        <v>826955000</v>
      </c>
      <c r="E18" s="615">
        <f>'4.'!V15</f>
        <v>0</v>
      </c>
      <c r="F18" s="62">
        <f t="shared" si="0"/>
        <v>0</v>
      </c>
      <c r="G18" s="63"/>
    </row>
    <row r="19" spans="1:7" ht="15.75">
      <c r="A19" s="71"/>
      <c r="B19" s="71" t="s">
        <v>77</v>
      </c>
      <c r="C19" s="615">
        <f>'4.'!T16</f>
        <v>127508000</v>
      </c>
      <c r="D19" s="615">
        <f>'4.'!U16</f>
        <v>73508000</v>
      </c>
      <c r="E19" s="615">
        <f>'4.'!V16</f>
        <v>0</v>
      </c>
      <c r="F19" s="62">
        <f t="shared" si="0"/>
        <v>0</v>
      </c>
      <c r="G19" s="63"/>
    </row>
    <row r="20" spans="1:7" ht="15.75">
      <c r="A20" s="71"/>
      <c r="B20" s="74"/>
      <c r="C20" s="615"/>
      <c r="D20" s="615"/>
      <c r="E20" s="615"/>
      <c r="F20" s="62"/>
      <c r="G20" s="63"/>
    </row>
    <row r="21" spans="1:7" ht="15.75">
      <c r="A21" s="2021" t="s">
        <v>78</v>
      </c>
      <c r="B21" s="2021"/>
      <c r="C21" s="616">
        <f>SUM(C13:C20)</f>
        <v>2613888000</v>
      </c>
      <c r="D21" s="616">
        <f>SUM(D13:D20)</f>
        <v>3290481693</v>
      </c>
      <c r="E21" s="616">
        <f>SUM(E13:E20)</f>
        <v>2114638822</v>
      </c>
      <c r="F21" s="75">
        <f>(E21/D21)</f>
        <v>0.64265327064380051</v>
      </c>
      <c r="G21" s="76"/>
    </row>
    <row r="22" spans="1:7" ht="15.75">
      <c r="A22" s="71"/>
      <c r="B22" s="71"/>
      <c r="C22" s="615"/>
      <c r="D22" s="615"/>
      <c r="E22" s="615"/>
      <c r="F22" s="75"/>
      <c r="G22" s="63"/>
    </row>
    <row r="23" spans="1:7" ht="15.75">
      <c r="A23" s="2025" t="s">
        <v>79</v>
      </c>
      <c r="B23" s="2025"/>
      <c r="C23" s="615"/>
      <c r="D23" s="615"/>
      <c r="E23" s="615"/>
      <c r="F23" s="75"/>
      <c r="G23" s="63"/>
    </row>
    <row r="24" spans="1:7" ht="15.75">
      <c r="A24" s="71" t="s">
        <v>70</v>
      </c>
      <c r="B24" s="61"/>
      <c r="C24" s="615"/>
      <c r="D24" s="615"/>
      <c r="E24" s="615"/>
      <c r="F24" s="75"/>
      <c r="G24" s="63"/>
    </row>
    <row r="25" spans="1:7" ht="15.75">
      <c r="A25" s="71"/>
      <c r="B25" s="73" t="s">
        <v>80</v>
      </c>
      <c r="C25" s="617">
        <f>'4.'!T20</f>
        <v>2678503000</v>
      </c>
      <c r="D25" s="617">
        <f>'4.'!U20</f>
        <v>2808712000</v>
      </c>
      <c r="E25" s="617">
        <f>'4.'!V20</f>
        <v>584290786.13999999</v>
      </c>
      <c r="F25" s="62">
        <f>(E25/D25)</f>
        <v>0.2080280164502448</v>
      </c>
      <c r="G25" s="77"/>
    </row>
    <row r="26" spans="1:7" ht="15.75">
      <c r="A26" s="71"/>
      <c r="B26" s="73" t="s">
        <v>81</v>
      </c>
      <c r="C26" s="617">
        <f>'4.'!T21</f>
        <v>116907000</v>
      </c>
      <c r="D26" s="617">
        <f>'4.'!U21</f>
        <v>158667000</v>
      </c>
      <c r="E26" s="617">
        <f>'4.'!V21</f>
        <v>94949248.890000001</v>
      </c>
      <c r="F26" s="62">
        <f>(E26/D26)</f>
        <v>0.59841837867987668</v>
      </c>
      <c r="G26" s="63"/>
    </row>
    <row r="27" spans="1:7" ht="15.75">
      <c r="A27" s="71"/>
      <c r="B27" s="78" t="s">
        <v>82</v>
      </c>
      <c r="C27" s="617">
        <f>'4.'!T22</f>
        <v>10000000</v>
      </c>
      <c r="D27" s="617">
        <f>'4.'!U22</f>
        <v>10000000</v>
      </c>
      <c r="E27" s="617">
        <f>'4.'!V22</f>
        <v>3000000</v>
      </c>
      <c r="F27" s="62">
        <f>(E27/D27)</f>
        <v>0.3</v>
      </c>
      <c r="G27" s="77"/>
    </row>
    <row r="28" spans="1:7" ht="15.75">
      <c r="A28" s="71"/>
      <c r="B28" s="78" t="s">
        <v>1497</v>
      </c>
      <c r="C28" s="617">
        <f>'4.'!T23</f>
        <v>20665000</v>
      </c>
      <c r="D28" s="617">
        <f>'4.'!U23</f>
        <v>20665000</v>
      </c>
      <c r="E28" s="617">
        <f>'4.'!V23</f>
        <v>0</v>
      </c>
      <c r="F28" s="62">
        <v>0</v>
      </c>
      <c r="G28" s="77"/>
    </row>
    <row r="29" spans="1:7" ht="15.75">
      <c r="A29" s="2021" t="s">
        <v>83</v>
      </c>
      <c r="B29" s="2021"/>
      <c r="C29" s="618">
        <f>SUM(C25:C28)</f>
        <v>2826075000</v>
      </c>
      <c r="D29" s="618">
        <f>SUM(D25:D28)</f>
        <v>2998044000</v>
      </c>
      <c r="E29" s="618">
        <f>SUM(E25:E28)</f>
        <v>682240035.02999997</v>
      </c>
      <c r="F29" s="75">
        <f>(E29/D29)</f>
        <v>0.2275617152483419</v>
      </c>
      <c r="G29" s="76"/>
    </row>
    <row r="30" spans="1:7" ht="15.75">
      <c r="A30" s="79"/>
      <c r="B30" s="79"/>
      <c r="C30" s="618"/>
      <c r="D30" s="618"/>
      <c r="E30" s="618"/>
      <c r="F30" s="75"/>
      <c r="G30" s="76"/>
    </row>
    <row r="31" spans="1:7" ht="15.75">
      <c r="A31" s="2022" t="s">
        <v>84</v>
      </c>
      <c r="B31" s="2022"/>
      <c r="C31" s="619">
        <f>SUM(C21,C29)</f>
        <v>5439963000</v>
      </c>
      <c r="D31" s="619">
        <f>SUM(D21,D29)</f>
        <v>6288525693</v>
      </c>
      <c r="E31" s="619">
        <f>SUM(E21,E29)</f>
        <v>2796878857.0299997</v>
      </c>
      <c r="F31" s="80">
        <f>(E31/D31)</f>
        <v>0.44475907288465294</v>
      </c>
      <c r="G31" s="76"/>
    </row>
    <row r="32" spans="1:7" ht="15.75">
      <c r="A32" s="71"/>
      <c r="B32" s="73"/>
      <c r="C32" s="620"/>
      <c r="D32" s="620"/>
      <c r="E32" s="615"/>
      <c r="F32" s="75"/>
      <c r="G32" s="77"/>
    </row>
    <row r="33" spans="1:7" ht="15.75">
      <c r="A33" s="81" t="s">
        <v>85</v>
      </c>
      <c r="B33" s="82" t="s">
        <v>86</v>
      </c>
      <c r="C33" s="620"/>
      <c r="D33" s="620"/>
      <c r="E33" s="615"/>
      <c r="F33" s="75"/>
      <c r="G33" s="77"/>
    </row>
    <row r="34" spans="1:7" ht="15.75">
      <c r="A34" s="71"/>
      <c r="B34" s="83" t="s">
        <v>1532</v>
      </c>
      <c r="C34" s="621">
        <f>'4.'!T25</f>
        <v>21153870</v>
      </c>
      <c r="D34" s="621">
        <f>'4.'!U25</f>
        <v>293000938</v>
      </c>
      <c r="E34" s="621">
        <f>'4.'!V25</f>
        <v>293000938</v>
      </c>
      <c r="F34" s="75">
        <f>(E34/D34)</f>
        <v>1</v>
      </c>
      <c r="G34" s="77"/>
    </row>
    <row r="35" spans="1:7" ht="15.75">
      <c r="A35" s="71"/>
      <c r="B35" s="71"/>
      <c r="C35" s="615"/>
      <c r="D35" s="615"/>
      <c r="E35" s="615"/>
      <c r="F35" s="75"/>
      <c r="G35" s="72"/>
    </row>
    <row r="36" spans="1:7" ht="16.5">
      <c r="A36" s="1523"/>
      <c r="B36" s="1524" t="s">
        <v>87</v>
      </c>
      <c r="C36" s="1525">
        <f>SUM(C31,C34)</f>
        <v>5461116870</v>
      </c>
      <c r="D36" s="1525">
        <f>SUM(D31,D34)</f>
        <v>6581526631</v>
      </c>
      <c r="E36" s="1525">
        <f>SUM(E31,E34)</f>
        <v>3089879795.0299997</v>
      </c>
      <c r="F36" s="1526">
        <f>(E36/D36)</f>
        <v>0.46947767110387306</v>
      </c>
      <c r="G36" s="84"/>
    </row>
  </sheetData>
  <mergeCells count="7">
    <mergeCell ref="A29:B29"/>
    <mergeCell ref="A31:B31"/>
    <mergeCell ref="A3:F3"/>
    <mergeCell ref="A9:B9"/>
    <mergeCell ref="A11:B11"/>
    <mergeCell ref="A21:B21"/>
    <mergeCell ref="A23:B23"/>
  </mergeCells>
  <printOptions headings="1"/>
  <pageMargins left="0.55118110236220474" right="0.55118110236220474" top="0.98425196850393704" bottom="0.98425196850393704" header="0.31496062992125984" footer="0.51181102362204722"/>
  <pageSetup paperSize="9" scale="96" firstPageNumber="0" orientation="portrait" r:id="rId1"/>
  <headerFooter>
    <oddHeader>&amp;R&amp;A melléklet a /2026.(V.28.) önkormányzati rendelethez/ &amp;P.oldal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MK34"/>
  <sheetViews>
    <sheetView topLeftCell="E1" zoomScaleNormal="100" workbookViewId="0">
      <selection activeCell="A3" sqref="A3:N3"/>
    </sheetView>
  </sheetViews>
  <sheetFormatPr defaultRowHeight="15.75"/>
  <cols>
    <col min="1" max="1" width="4.7109375" style="17"/>
    <col min="2" max="2" width="42.42578125" style="21" customWidth="1"/>
    <col min="3" max="3" width="11.85546875" style="21" customWidth="1"/>
    <col min="4" max="4" width="11.7109375" style="21" customWidth="1"/>
    <col min="5" max="5" width="10.42578125" style="21"/>
    <col min="6" max="6" width="11.85546875" style="21" customWidth="1"/>
    <col min="7" max="7" width="12.140625" style="21" customWidth="1"/>
    <col min="8" max="8" width="10.28515625" style="21"/>
    <col min="9" max="9" width="12.28515625" style="21" customWidth="1"/>
    <col min="10" max="10" width="12.5703125" style="21" customWidth="1"/>
    <col min="11" max="11" width="10.7109375" style="21"/>
    <col min="12" max="13" width="12.140625" style="21" customWidth="1"/>
    <col min="14" max="14" width="10.7109375" style="21"/>
    <col min="15" max="15" width="11" style="21" customWidth="1"/>
    <col min="16" max="16" width="43.7109375" style="21" bestFit="1" customWidth="1"/>
    <col min="17" max="19" width="11.7109375" style="21"/>
    <col min="20" max="22" width="11.7109375" style="1"/>
    <col min="23" max="23" width="12" style="21"/>
    <col min="24" max="24" width="0" style="21" hidden="1"/>
    <col min="25" max="26" width="14.28515625" style="21"/>
    <col min="27" max="1025" width="9.140625" style="21"/>
  </cols>
  <sheetData>
    <row r="1" spans="1:1024">
      <c r="A1"/>
      <c r="B1"/>
      <c r="C1" s="85"/>
      <c r="D1" s="85"/>
      <c r="E1" s="85"/>
      <c r="F1" s="85"/>
      <c r="G1" s="85"/>
      <c r="H1" s="85"/>
      <c r="I1"/>
      <c r="J1"/>
      <c r="K1"/>
      <c r="L1"/>
      <c r="M1"/>
      <c r="N1"/>
      <c r="O1"/>
      <c r="P1"/>
      <c r="Q1"/>
      <c r="R1"/>
      <c r="S1"/>
      <c r="T1" s="115"/>
      <c r="U1" s="115"/>
      <c r="V1" s="1790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>
      <c r="A2"/>
      <c r="B2"/>
      <c r="C2" s="85"/>
      <c r="D2" s="85"/>
      <c r="E2" s="85"/>
      <c r="F2" s="85"/>
      <c r="G2" s="85"/>
      <c r="H2" s="85"/>
      <c r="I2"/>
      <c r="J2"/>
      <c r="K2"/>
      <c r="L2"/>
      <c r="M2"/>
      <c r="N2"/>
      <c r="O2"/>
      <c r="P2"/>
      <c r="Q2"/>
      <c r="R2"/>
      <c r="S2"/>
      <c r="T2" s="115"/>
      <c r="U2" s="115"/>
      <c r="V2" s="1790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15.75" customHeight="1">
      <c r="A3" s="2026" t="s">
        <v>2238</v>
      </c>
      <c r="B3" s="2026"/>
      <c r="C3" s="2026"/>
      <c r="D3" s="2026"/>
      <c r="E3" s="2026"/>
      <c r="F3" s="2026"/>
      <c r="G3" s="2026"/>
      <c r="H3" s="2026"/>
      <c r="I3" s="2026"/>
      <c r="J3" s="2026"/>
      <c r="K3" s="2026"/>
      <c r="L3" s="2026"/>
      <c r="M3" s="2026"/>
      <c r="N3" s="2026"/>
      <c r="O3" s="2026" t="s">
        <v>2238</v>
      </c>
      <c r="P3" s="2026"/>
      <c r="Q3" s="2026"/>
      <c r="R3" s="2026"/>
      <c r="S3" s="2026"/>
      <c r="T3" s="2026"/>
      <c r="U3" s="2026"/>
      <c r="V3" s="2026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t="15.75" customHeight="1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1668"/>
      <c r="U4" s="1668"/>
      <c r="V4" s="1668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 s="115"/>
      <c r="U5" s="115"/>
      <c r="V5" s="68" t="s">
        <v>38</v>
      </c>
      <c r="W5" s="87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s="17" customFormat="1" ht="51" customHeight="1">
      <c r="A6" s="88"/>
      <c r="B6" s="1239" t="s">
        <v>68</v>
      </c>
      <c r="C6" s="2013" t="s">
        <v>40</v>
      </c>
      <c r="D6" s="2014"/>
      <c r="E6" s="2015"/>
      <c r="F6" s="2013" t="s">
        <v>41</v>
      </c>
      <c r="G6" s="2014"/>
      <c r="H6" s="2015"/>
      <c r="I6" s="2013" t="s">
        <v>88</v>
      </c>
      <c r="J6" s="2014"/>
      <c r="K6" s="2015"/>
      <c r="L6" s="2016" t="s">
        <v>43</v>
      </c>
      <c r="M6" s="2017"/>
      <c r="N6" s="2018"/>
      <c r="O6" s="1264"/>
      <c r="P6" s="89" t="s">
        <v>68</v>
      </c>
      <c r="Q6" s="2027" t="s">
        <v>44</v>
      </c>
      <c r="R6" s="2027"/>
      <c r="S6" s="2015"/>
      <c r="T6" s="2028" t="s">
        <v>45</v>
      </c>
      <c r="U6" s="2029"/>
      <c r="V6" s="2030"/>
      <c r="W6" s="15"/>
      <c r="Y6" s="90"/>
    </row>
    <row r="7" spans="1:1024" ht="39.75" customHeight="1">
      <c r="A7" s="91"/>
      <c r="B7" s="92"/>
      <c r="C7" s="1248" t="s">
        <v>46</v>
      </c>
      <c r="D7" s="93" t="s">
        <v>47</v>
      </c>
      <c r="E7" s="1249" t="s">
        <v>48</v>
      </c>
      <c r="F7" s="1248" t="s">
        <v>46</v>
      </c>
      <c r="G7" s="93" t="s">
        <v>47</v>
      </c>
      <c r="H7" s="1249" t="s">
        <v>48</v>
      </c>
      <c r="I7" s="1248" t="s">
        <v>46</v>
      </c>
      <c r="J7" s="93" t="s">
        <v>47</v>
      </c>
      <c r="K7" s="1249" t="s">
        <v>48</v>
      </c>
      <c r="L7" s="1248" t="s">
        <v>46</v>
      </c>
      <c r="M7" s="93" t="s">
        <v>47</v>
      </c>
      <c r="N7" s="1271" t="s">
        <v>48</v>
      </c>
      <c r="O7" s="1265"/>
      <c r="P7" s="92"/>
      <c r="Q7" s="93" t="s">
        <v>46</v>
      </c>
      <c r="R7" s="93" t="s">
        <v>47</v>
      </c>
      <c r="S7" s="1271" t="s">
        <v>48</v>
      </c>
      <c r="T7" s="1791" t="s">
        <v>46</v>
      </c>
      <c r="U7" s="1792" t="s">
        <v>47</v>
      </c>
      <c r="V7" s="369" t="s">
        <v>48</v>
      </c>
      <c r="W7" s="92"/>
      <c r="X7"/>
      <c r="Y7" s="92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18" customHeight="1">
      <c r="A8" s="94"/>
      <c r="B8" s="1240" t="s">
        <v>69</v>
      </c>
      <c r="C8" s="1250"/>
      <c r="D8" s="96"/>
      <c r="E8" s="1251"/>
      <c r="F8" s="1252"/>
      <c r="G8" s="96"/>
      <c r="H8" s="1251"/>
      <c r="I8" s="1250"/>
      <c r="J8" s="96"/>
      <c r="K8" s="1251"/>
      <c r="L8" s="1250"/>
      <c r="M8" s="98"/>
      <c r="N8" s="1253"/>
      <c r="O8" s="1266"/>
      <c r="P8" s="95" t="s">
        <v>69</v>
      </c>
      <c r="Q8" s="98"/>
      <c r="R8" s="97"/>
      <c r="S8" s="1253"/>
      <c r="T8" s="1793"/>
      <c r="U8" s="41"/>
      <c r="V8" s="41"/>
      <c r="W8" s="92"/>
      <c r="X8"/>
      <c r="Y8" s="99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18" customHeight="1">
      <c r="A9" s="100"/>
      <c r="B9" s="1241" t="s">
        <v>70</v>
      </c>
      <c r="C9" s="1252"/>
      <c r="D9" s="97"/>
      <c r="E9" s="1253"/>
      <c r="F9" s="1252"/>
      <c r="G9" s="97"/>
      <c r="H9" s="1253"/>
      <c r="I9" s="1252"/>
      <c r="J9" s="97"/>
      <c r="K9" s="1253"/>
      <c r="L9" s="1252"/>
      <c r="M9" s="101"/>
      <c r="N9" s="1253"/>
      <c r="O9" s="1267"/>
      <c r="P9" s="100" t="s">
        <v>70</v>
      </c>
      <c r="Q9" s="101"/>
      <c r="R9" s="97"/>
      <c r="S9" s="1253"/>
      <c r="T9" s="1793"/>
      <c r="U9" s="41"/>
      <c r="V9" s="41"/>
      <c r="W9"/>
      <c r="X9"/>
      <c r="Y9" s="9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18" customHeight="1">
      <c r="A10" s="100" t="s">
        <v>49</v>
      </c>
      <c r="B10" s="1242" t="s">
        <v>89</v>
      </c>
      <c r="C10" s="1254">
        <v>199179000</v>
      </c>
      <c r="D10" s="626">
        <v>205816400</v>
      </c>
      <c r="E10" s="1255">
        <v>199823993</v>
      </c>
      <c r="F10" s="1254">
        <v>288335000</v>
      </c>
      <c r="G10" s="626">
        <v>303917726</v>
      </c>
      <c r="H10" s="1255">
        <v>301685911</v>
      </c>
      <c r="I10" s="1254">
        <v>77040000</v>
      </c>
      <c r="J10" s="626">
        <v>91924072</v>
      </c>
      <c r="K10" s="1255">
        <v>88690903</v>
      </c>
      <c r="L10" s="1254">
        <f>'13.'!C29</f>
        <v>152466000</v>
      </c>
      <c r="M10" s="626">
        <f>'13.'!D29</f>
        <v>170296600</v>
      </c>
      <c r="N10" s="1255">
        <f>'13.'!E29</f>
        <v>169296000</v>
      </c>
      <c r="O10" s="1268" t="s">
        <v>49</v>
      </c>
      <c r="P10" s="628" t="s">
        <v>89</v>
      </c>
      <c r="Q10" s="629">
        <f>'12.'!C30</f>
        <v>63281000</v>
      </c>
      <c r="R10" s="629">
        <f>'12.'!D30</f>
        <v>90759000</v>
      </c>
      <c r="S10" s="1255">
        <f>'12.'!E30</f>
        <v>87192000</v>
      </c>
      <c r="T10" s="1794">
        <f t="shared" ref="T10:V16" si="0">SUM(C10,F10,I10,L10,Q10)</f>
        <v>780301000</v>
      </c>
      <c r="U10" s="1336">
        <f t="shared" si="0"/>
        <v>862713798</v>
      </c>
      <c r="V10" s="1336">
        <f t="shared" si="0"/>
        <v>846688807</v>
      </c>
      <c r="W10" s="92"/>
      <c r="X10" s="102"/>
      <c r="Y10" s="92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18" customHeight="1">
      <c r="A11" s="100" t="s">
        <v>51</v>
      </c>
      <c r="B11" s="1243" t="s">
        <v>90</v>
      </c>
      <c r="C11" s="1254">
        <v>26031000</v>
      </c>
      <c r="D11" s="626">
        <v>27712236</v>
      </c>
      <c r="E11" s="1255">
        <v>27642783</v>
      </c>
      <c r="F11" s="1254">
        <v>42538000</v>
      </c>
      <c r="G11" s="626">
        <v>44190116</v>
      </c>
      <c r="H11" s="1255">
        <v>43991074</v>
      </c>
      <c r="I11" s="1254">
        <v>10401000</v>
      </c>
      <c r="J11" s="626">
        <v>12718528</v>
      </c>
      <c r="K11" s="1255">
        <v>12718528</v>
      </c>
      <c r="L11" s="1254">
        <f>'13.'!C35</f>
        <v>19431000</v>
      </c>
      <c r="M11" s="626">
        <f>'13.'!D35</f>
        <v>23390000</v>
      </c>
      <c r="N11" s="1255">
        <f>'13.'!E35</f>
        <v>23390000</v>
      </c>
      <c r="O11" s="1268" t="s">
        <v>51</v>
      </c>
      <c r="P11" s="628" t="s">
        <v>90</v>
      </c>
      <c r="Q11" s="629">
        <f>'12.'!C37</f>
        <v>7547000</v>
      </c>
      <c r="R11" s="629">
        <f>'12.'!D37</f>
        <v>10145000</v>
      </c>
      <c r="S11" s="1255">
        <f>'12.'!E37</f>
        <v>9763303</v>
      </c>
      <c r="T11" s="1794">
        <f t="shared" si="0"/>
        <v>105948000</v>
      </c>
      <c r="U11" s="1336">
        <f t="shared" si="0"/>
        <v>118155880</v>
      </c>
      <c r="V11" s="1336">
        <f t="shared" si="0"/>
        <v>117505688</v>
      </c>
      <c r="W11" s="92"/>
      <c r="X11" s="102"/>
      <c r="Y11" s="92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18" customHeight="1">
      <c r="A12" s="100" t="s">
        <v>53</v>
      </c>
      <c r="B12" s="1243" t="s">
        <v>91</v>
      </c>
      <c r="C12" s="1254">
        <v>175251000</v>
      </c>
      <c r="D12" s="626">
        <v>184768855</v>
      </c>
      <c r="E12" s="1255">
        <v>159193128</v>
      </c>
      <c r="F12" s="1254">
        <v>26105000</v>
      </c>
      <c r="G12" s="626">
        <v>27149336</v>
      </c>
      <c r="H12" s="1255">
        <v>22791031</v>
      </c>
      <c r="I12" s="1254">
        <v>89017000</v>
      </c>
      <c r="J12" s="626">
        <v>99693824</v>
      </c>
      <c r="K12" s="1255">
        <v>83903168</v>
      </c>
      <c r="L12" s="1254">
        <f>'13.'!C76</f>
        <v>30415000</v>
      </c>
      <c r="M12" s="626">
        <f>'13.'!D76</f>
        <v>33236000</v>
      </c>
      <c r="N12" s="1255">
        <f>'13.'!E76</f>
        <v>25887000</v>
      </c>
      <c r="O12" s="1268" t="s">
        <v>53</v>
      </c>
      <c r="P12" s="628" t="s">
        <v>91</v>
      </c>
      <c r="Q12" s="629">
        <f>'12.'!C79</f>
        <v>453905000</v>
      </c>
      <c r="R12" s="629">
        <f>'12.'!D79</f>
        <v>470919000</v>
      </c>
      <c r="S12" s="1255">
        <f>'12.'!E79</f>
        <v>268631000</v>
      </c>
      <c r="T12" s="1794">
        <f t="shared" si="0"/>
        <v>774693000</v>
      </c>
      <c r="U12" s="1336">
        <f t="shared" si="0"/>
        <v>815767015</v>
      </c>
      <c r="V12" s="1336">
        <f t="shared" si="0"/>
        <v>560405327</v>
      </c>
      <c r="W12" s="92"/>
      <c r="X12" s="102"/>
      <c r="Y12" s="9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18" customHeight="1">
      <c r="A13" s="100" t="s">
        <v>55</v>
      </c>
      <c r="B13" s="1243" t="s">
        <v>92</v>
      </c>
      <c r="C13" s="1254"/>
      <c r="D13" s="626"/>
      <c r="E13" s="1255"/>
      <c r="F13" s="1254"/>
      <c r="G13" s="626"/>
      <c r="H13" s="1255">
        <v>0</v>
      </c>
      <c r="I13" s="1254"/>
      <c r="J13" s="626"/>
      <c r="K13" s="1255"/>
      <c r="L13" s="1254"/>
      <c r="M13" s="629">
        <v>0</v>
      </c>
      <c r="N13" s="1255">
        <v>0</v>
      </c>
      <c r="O13" s="1268" t="s">
        <v>55</v>
      </c>
      <c r="P13" s="628" t="s">
        <v>92</v>
      </c>
      <c r="Q13" s="629">
        <f>'12.'!C85</f>
        <v>44073000</v>
      </c>
      <c r="R13" s="629">
        <f>'12.'!D85</f>
        <v>43873000</v>
      </c>
      <c r="S13" s="1255">
        <f>'12.'!E85</f>
        <v>40748000</v>
      </c>
      <c r="T13" s="1794">
        <f>SUM(C13,F13,I13,L13,Q13)</f>
        <v>44073000</v>
      </c>
      <c r="U13" s="1336">
        <f t="shared" si="0"/>
        <v>43873000</v>
      </c>
      <c r="V13" s="1336">
        <f t="shared" si="0"/>
        <v>40748000</v>
      </c>
      <c r="W13" s="92"/>
      <c r="X13" s="102"/>
      <c r="Y13" s="92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18" customHeight="1">
      <c r="A14" s="100" t="s">
        <v>58</v>
      </c>
      <c r="B14" s="1243" t="s">
        <v>93</v>
      </c>
      <c r="C14" s="1254"/>
      <c r="D14" s="626"/>
      <c r="E14" s="1255"/>
      <c r="F14" s="1254"/>
      <c r="G14" s="626"/>
      <c r="H14" s="1255"/>
      <c r="I14" s="1254"/>
      <c r="J14" s="626"/>
      <c r="K14" s="1255"/>
      <c r="L14" s="1254"/>
      <c r="M14" s="629"/>
      <c r="N14" s="1255"/>
      <c r="O14" s="1268" t="s">
        <v>58</v>
      </c>
      <c r="P14" s="628" t="s">
        <v>93</v>
      </c>
      <c r="Q14" s="629">
        <f>'12.'!C120</f>
        <v>504785000</v>
      </c>
      <c r="R14" s="629">
        <f>'12.'!D120</f>
        <v>549509000</v>
      </c>
      <c r="S14" s="1255">
        <f>'12.'!E120</f>
        <v>549291000</v>
      </c>
      <c r="T14" s="1794">
        <f t="shared" si="0"/>
        <v>504785000</v>
      </c>
      <c r="U14" s="1336">
        <f t="shared" si="0"/>
        <v>549509000</v>
      </c>
      <c r="V14" s="1336">
        <f t="shared" si="0"/>
        <v>549291000</v>
      </c>
      <c r="W14" s="92"/>
      <c r="X14" s="102"/>
      <c r="Y14" s="92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8" customHeight="1">
      <c r="A15" s="100" t="s">
        <v>60</v>
      </c>
      <c r="B15" s="1244" t="s">
        <v>76</v>
      </c>
      <c r="C15" s="1254"/>
      <c r="D15" s="626"/>
      <c r="E15" s="1255"/>
      <c r="F15" s="1254"/>
      <c r="G15" s="626"/>
      <c r="H15" s="1255"/>
      <c r="I15" s="1254">
        <v>0</v>
      </c>
      <c r="J15" s="626"/>
      <c r="K15" s="1255"/>
      <c r="L15" s="1254"/>
      <c r="M15" s="629"/>
      <c r="N15" s="1255"/>
      <c r="O15" s="1268" t="s">
        <v>60</v>
      </c>
      <c r="P15" s="630" t="s">
        <v>76</v>
      </c>
      <c r="Q15" s="629">
        <f>'12.'!C123</f>
        <v>276580000</v>
      </c>
      <c r="R15" s="629">
        <f>'12.'!D123</f>
        <v>826955000</v>
      </c>
      <c r="S15" s="1255"/>
      <c r="T15" s="1794">
        <f t="shared" si="0"/>
        <v>276580000</v>
      </c>
      <c r="U15" s="1336">
        <f t="shared" si="0"/>
        <v>826955000</v>
      </c>
      <c r="V15" s="1336">
        <f t="shared" si="0"/>
        <v>0</v>
      </c>
      <c r="W15" s="92"/>
      <c r="X15" s="102"/>
      <c r="Y15" s="92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8" customHeight="1">
      <c r="A16" s="100" t="s">
        <v>62</v>
      </c>
      <c r="B16" s="1245" t="s">
        <v>77</v>
      </c>
      <c r="C16" s="1256"/>
      <c r="D16" s="631"/>
      <c r="E16" s="1257"/>
      <c r="F16" s="1256"/>
      <c r="G16" s="631"/>
      <c r="H16" s="1257"/>
      <c r="I16" s="1256">
        <v>0</v>
      </c>
      <c r="J16" s="631"/>
      <c r="K16" s="1257"/>
      <c r="L16" s="1256"/>
      <c r="M16" s="632"/>
      <c r="N16" s="1272"/>
      <c r="O16" s="1268" t="s">
        <v>62</v>
      </c>
      <c r="P16" s="633" t="s">
        <v>77</v>
      </c>
      <c r="Q16" s="1275">
        <f>'12.'!C132</f>
        <v>127508000</v>
      </c>
      <c r="R16" s="1275">
        <f>'12.'!D132</f>
        <v>73508000</v>
      </c>
      <c r="S16" s="1272">
        <f>'12.'!E132</f>
        <v>0</v>
      </c>
      <c r="T16" s="1794">
        <f t="shared" si="0"/>
        <v>127508000</v>
      </c>
      <c r="U16" s="1336">
        <f t="shared" si="0"/>
        <v>73508000</v>
      </c>
      <c r="V16" s="1336">
        <f t="shared" si="0"/>
        <v>0</v>
      </c>
      <c r="W16" s="92"/>
      <c r="X16" s="103"/>
      <c r="Y16" s="92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5" ht="18" customHeight="1">
      <c r="A17" s="1419"/>
      <c r="B17" s="1420" t="s">
        <v>94</v>
      </c>
      <c r="C17" s="1421">
        <f t="shared" ref="C17:N17" si="1">SUM(C10:C16)</f>
        <v>400461000</v>
      </c>
      <c r="D17" s="1422">
        <f t="shared" si="1"/>
        <v>418297491</v>
      </c>
      <c r="E17" s="1423">
        <f t="shared" si="1"/>
        <v>386659904</v>
      </c>
      <c r="F17" s="1421">
        <f t="shared" si="1"/>
        <v>356978000</v>
      </c>
      <c r="G17" s="1422">
        <f t="shared" si="1"/>
        <v>375257178</v>
      </c>
      <c r="H17" s="1423">
        <f t="shared" si="1"/>
        <v>368468016</v>
      </c>
      <c r="I17" s="1421">
        <f t="shared" si="1"/>
        <v>176458000</v>
      </c>
      <c r="J17" s="1422">
        <f t="shared" si="1"/>
        <v>204336424</v>
      </c>
      <c r="K17" s="1423">
        <f t="shared" si="1"/>
        <v>185312599</v>
      </c>
      <c r="L17" s="1421">
        <f t="shared" si="1"/>
        <v>202312000</v>
      </c>
      <c r="M17" s="1422">
        <f t="shared" si="1"/>
        <v>226922600</v>
      </c>
      <c r="N17" s="1423">
        <f t="shared" si="1"/>
        <v>218573000</v>
      </c>
      <c r="O17" s="1424"/>
      <c r="P17" s="1425" t="s">
        <v>94</v>
      </c>
      <c r="Q17" s="1426">
        <f t="shared" ref="Q17:V17" si="2">SUM(Q10:Q16)</f>
        <v>1477679000</v>
      </c>
      <c r="R17" s="1426">
        <f t="shared" si="2"/>
        <v>2065668000</v>
      </c>
      <c r="S17" s="1423">
        <f t="shared" si="2"/>
        <v>955625303</v>
      </c>
      <c r="T17" s="1795">
        <f t="shared" si="2"/>
        <v>2613888000</v>
      </c>
      <c r="U17" s="1796">
        <f t="shared" si="2"/>
        <v>3290481693</v>
      </c>
      <c r="V17" s="1797">
        <f t="shared" si="2"/>
        <v>2114638822</v>
      </c>
      <c r="W17" s="92"/>
      <c r="X17" s="104"/>
      <c r="Y17" s="92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5" ht="18" customHeight="1">
      <c r="A18" s="94"/>
      <c r="B18" s="1246" t="s">
        <v>79</v>
      </c>
      <c r="C18" s="1258"/>
      <c r="D18" s="634"/>
      <c r="E18" s="1259"/>
      <c r="F18" s="1258"/>
      <c r="G18" s="634"/>
      <c r="H18" s="1259"/>
      <c r="I18" s="1258"/>
      <c r="J18" s="634"/>
      <c r="K18" s="1259"/>
      <c r="L18" s="1258"/>
      <c r="M18" s="635"/>
      <c r="N18" s="1273"/>
      <c r="O18" s="1269"/>
      <c r="P18" s="637" t="s">
        <v>79</v>
      </c>
      <c r="Q18" s="635"/>
      <c r="R18" s="636"/>
      <c r="S18" s="1276"/>
      <c r="T18" s="1798"/>
      <c r="U18" s="1799"/>
      <c r="V18" s="1800">
        <f>SUM(I18,L18,Q18,F18,C18)</f>
        <v>0</v>
      </c>
      <c r="W18" s="92"/>
      <c r="X18" s="105"/>
      <c r="Y18" s="92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5" ht="18" customHeight="1">
      <c r="A19" s="100"/>
      <c r="B19" s="1241" t="s">
        <v>70</v>
      </c>
      <c r="C19" s="1254"/>
      <c r="D19" s="626"/>
      <c r="E19" s="1255"/>
      <c r="F19" s="1254"/>
      <c r="G19" s="626"/>
      <c r="H19" s="1255"/>
      <c r="I19" s="1262">
        <v>0</v>
      </c>
      <c r="J19" s="638"/>
      <c r="K19" s="1263"/>
      <c r="L19" s="1254"/>
      <c r="M19" s="629"/>
      <c r="N19" s="1255"/>
      <c r="O19" s="1268"/>
      <c r="P19" s="627" t="s">
        <v>70</v>
      </c>
      <c r="Q19" s="629"/>
      <c r="R19" s="626"/>
      <c r="S19" s="1255"/>
      <c r="T19" s="1794"/>
      <c r="U19" s="1336"/>
      <c r="V19" s="1801">
        <f>SUM(I19,L19,Q19,F19,C19)</f>
        <v>0</v>
      </c>
      <c r="W19" s="92"/>
      <c r="X19" s="102"/>
      <c r="Y19" s="92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5" ht="18" customHeight="1">
      <c r="A20" s="100" t="s">
        <v>65</v>
      </c>
      <c r="B20" s="1242" t="s">
        <v>95</v>
      </c>
      <c r="C20" s="1254">
        <f>'5.'!D118</f>
        <v>5151000</v>
      </c>
      <c r="D20" s="626">
        <f>'5.'!E118</f>
        <v>5277000</v>
      </c>
      <c r="E20" s="1255">
        <f>'5.'!F118</f>
        <v>2212601.62</v>
      </c>
      <c r="F20" s="1254">
        <f>'5.'!D96</f>
        <v>1790000</v>
      </c>
      <c r="G20" s="626">
        <f>'5.'!E96</f>
        <v>1790000</v>
      </c>
      <c r="H20" s="1255">
        <f>'5.'!F96</f>
        <v>1068263.04</v>
      </c>
      <c r="I20" s="1254">
        <f>'5.'!D109</f>
        <v>5139000</v>
      </c>
      <c r="J20" s="626">
        <f>'5.'!E109</f>
        <v>7945000</v>
      </c>
      <c r="K20" s="1255">
        <f>'5.'!F109</f>
        <v>6927811.3300000001</v>
      </c>
      <c r="L20" s="1254">
        <f>'5.'!D88</f>
        <v>2000000</v>
      </c>
      <c r="M20" s="626">
        <f>'5.'!E88</f>
        <v>4164000</v>
      </c>
      <c r="N20" s="1255">
        <f>'5.'!F88</f>
        <v>2286201.9300000002</v>
      </c>
      <c r="O20" s="1268" t="s">
        <v>65</v>
      </c>
      <c r="P20" s="628" t="s">
        <v>95</v>
      </c>
      <c r="Q20" s="629">
        <f>'5.'!D81</f>
        <v>2664423000</v>
      </c>
      <c r="R20" s="629">
        <f>'5.'!E81</f>
        <v>2789536000</v>
      </c>
      <c r="S20" s="1255">
        <f>'5.'!F81</f>
        <v>571795908.22000003</v>
      </c>
      <c r="T20" s="1794">
        <f t="shared" ref="T20:V22" si="3">SUM(C20,F20,I20,L20,Q20)</f>
        <v>2678503000</v>
      </c>
      <c r="U20" s="1336">
        <f>D20+G20+J20+M20+R20</f>
        <v>2808712000</v>
      </c>
      <c r="V20" s="1336">
        <f t="shared" si="3"/>
        <v>584290786.13999999</v>
      </c>
      <c r="W20" s="92"/>
      <c r="X20" s="102"/>
      <c r="Y20" s="92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5" ht="18" customHeight="1">
      <c r="A21" s="100" t="s">
        <v>96</v>
      </c>
      <c r="B21" s="1242" t="s">
        <v>97</v>
      </c>
      <c r="C21" s="1254"/>
      <c r="D21" s="626">
        <v>0</v>
      </c>
      <c r="E21" s="1255">
        <v>0</v>
      </c>
      <c r="F21" s="1254"/>
      <c r="G21" s="626"/>
      <c r="H21" s="1255"/>
      <c r="I21" s="1254"/>
      <c r="J21" s="626"/>
      <c r="K21" s="1255"/>
      <c r="L21" s="1254">
        <f>'5.'!D146</f>
        <v>0</v>
      </c>
      <c r="M21" s="626">
        <f>'5.'!E146</f>
        <v>8000</v>
      </c>
      <c r="N21" s="1255">
        <f>'5.'!F146</f>
        <v>7499.35</v>
      </c>
      <c r="O21" s="1268" t="s">
        <v>96</v>
      </c>
      <c r="P21" s="628" t="s">
        <v>97</v>
      </c>
      <c r="Q21" s="629">
        <f>'5.'!D141</f>
        <v>116907000</v>
      </c>
      <c r="R21" s="629">
        <f>'5.'!E141</f>
        <v>158659000</v>
      </c>
      <c r="S21" s="1255">
        <f>'5.'!F141</f>
        <v>94941749.540000007</v>
      </c>
      <c r="T21" s="1794">
        <f t="shared" si="3"/>
        <v>116907000</v>
      </c>
      <c r="U21" s="1336">
        <f>J21+R21+G21+M21</f>
        <v>158667000</v>
      </c>
      <c r="V21" s="1336">
        <f t="shared" si="3"/>
        <v>94949248.890000001</v>
      </c>
      <c r="W21" s="92"/>
      <c r="X21" s="102"/>
      <c r="Y21" s="92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5" ht="18" customHeight="1">
      <c r="A22" s="100" t="s">
        <v>98</v>
      </c>
      <c r="B22" s="1242" t="s">
        <v>99</v>
      </c>
      <c r="C22" s="1254"/>
      <c r="D22" s="626"/>
      <c r="E22" s="1255"/>
      <c r="F22" s="1254"/>
      <c r="G22" s="626"/>
      <c r="H22" s="1255"/>
      <c r="I22" s="1262">
        <v>0</v>
      </c>
      <c r="J22" s="638"/>
      <c r="K22" s="1263"/>
      <c r="L22" s="1254"/>
      <c r="M22" s="629"/>
      <c r="N22" s="1255"/>
      <c r="O22" s="1268" t="s">
        <v>98</v>
      </c>
      <c r="P22" s="628" t="s">
        <v>99</v>
      </c>
      <c r="Q22" s="629">
        <f>'5.'!D154</f>
        <v>10000000</v>
      </c>
      <c r="R22" s="629">
        <f>'5.'!E154</f>
        <v>10000000</v>
      </c>
      <c r="S22" s="1255">
        <f>+'5.'!F153</f>
        <v>3000000</v>
      </c>
      <c r="T22" s="1794">
        <f t="shared" si="3"/>
        <v>10000000</v>
      </c>
      <c r="U22" s="1336">
        <f t="shared" si="3"/>
        <v>10000000</v>
      </c>
      <c r="V22" s="1336">
        <f t="shared" si="3"/>
        <v>3000000</v>
      </c>
      <c r="W22" s="92"/>
      <c r="X22" s="102"/>
      <c r="Y22" s="9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5" s="92" customFormat="1" ht="18" customHeight="1">
      <c r="A23" s="100" t="s">
        <v>100</v>
      </c>
      <c r="B23" s="1242" t="s">
        <v>101</v>
      </c>
      <c r="C23" s="1254"/>
      <c r="D23" s="626"/>
      <c r="E23" s="1255"/>
      <c r="F23" s="1254"/>
      <c r="G23" s="626"/>
      <c r="H23" s="1255"/>
      <c r="I23" s="1262"/>
      <c r="J23" s="638"/>
      <c r="K23" s="1263"/>
      <c r="L23" s="1254"/>
      <c r="M23" s="629"/>
      <c r="N23" s="1255"/>
      <c r="O23" s="1270" t="s">
        <v>100</v>
      </c>
      <c r="P23" s="628" t="s">
        <v>101</v>
      </c>
      <c r="Q23" s="629">
        <f>'5.'!D159</f>
        <v>20665000</v>
      </c>
      <c r="R23" s="1362">
        <f>'5.'!E159</f>
        <v>20665000</v>
      </c>
      <c r="S23" s="1363">
        <f>'5.'!F159</f>
        <v>0</v>
      </c>
      <c r="T23" s="1794">
        <f>SUM(C23,F23,I23,L23,Q23)</f>
        <v>20665000</v>
      </c>
      <c r="U23" s="1336">
        <f>SUM(D23,G23,J23,M23,R23)</f>
        <v>20665000</v>
      </c>
      <c r="V23" s="1336"/>
    </row>
    <row r="24" spans="1:1025" ht="18" customHeight="1">
      <c r="A24" s="1427"/>
      <c r="B24" s="1428" t="s">
        <v>102</v>
      </c>
      <c r="C24" s="1429">
        <f t="shared" ref="C24:N24" si="4">SUM(C20:C22)</f>
        <v>5151000</v>
      </c>
      <c r="D24" s="1430">
        <f t="shared" si="4"/>
        <v>5277000</v>
      </c>
      <c r="E24" s="1431">
        <f t="shared" si="4"/>
        <v>2212601.62</v>
      </c>
      <c r="F24" s="1429">
        <f t="shared" si="4"/>
        <v>1790000</v>
      </c>
      <c r="G24" s="1430">
        <f t="shared" si="4"/>
        <v>1790000</v>
      </c>
      <c r="H24" s="1431">
        <f t="shared" si="4"/>
        <v>1068263.04</v>
      </c>
      <c r="I24" s="1429">
        <f t="shared" si="4"/>
        <v>5139000</v>
      </c>
      <c r="J24" s="1430">
        <f t="shared" si="4"/>
        <v>7945000</v>
      </c>
      <c r="K24" s="1431">
        <f t="shared" si="4"/>
        <v>6927811.3300000001</v>
      </c>
      <c r="L24" s="1429">
        <f t="shared" si="4"/>
        <v>2000000</v>
      </c>
      <c r="M24" s="1430">
        <f t="shared" si="4"/>
        <v>4172000</v>
      </c>
      <c r="N24" s="1431">
        <f t="shared" si="4"/>
        <v>2293701.2800000003</v>
      </c>
      <c r="O24" s="1432"/>
      <c r="P24" s="1433" t="s">
        <v>102</v>
      </c>
      <c r="Q24" s="1430">
        <f t="shared" ref="Q24:V24" si="5">SUM(Q20:Q23)</f>
        <v>2811995000</v>
      </c>
      <c r="R24" s="1430">
        <f t="shared" si="5"/>
        <v>2978860000</v>
      </c>
      <c r="S24" s="1431">
        <f t="shared" si="5"/>
        <v>669737657.75999999</v>
      </c>
      <c r="T24" s="1802">
        <f t="shared" si="5"/>
        <v>2826075000</v>
      </c>
      <c r="U24" s="1803">
        <f t="shared" si="5"/>
        <v>2998044000</v>
      </c>
      <c r="V24" s="1803">
        <f t="shared" si="5"/>
        <v>682240035.02999997</v>
      </c>
      <c r="W24" s="92"/>
      <c r="X24"/>
      <c r="Y24" s="92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5" ht="18" customHeight="1" thickBot="1">
      <c r="A25" s="100" t="s">
        <v>103</v>
      </c>
      <c r="B25" s="1242" t="s">
        <v>104</v>
      </c>
      <c r="C25" s="1254"/>
      <c r="D25" s="626"/>
      <c r="E25" s="1255"/>
      <c r="F25" s="1254"/>
      <c r="G25" s="626"/>
      <c r="H25" s="1255"/>
      <c r="I25" s="1262">
        <v>0</v>
      </c>
      <c r="J25" s="638"/>
      <c r="K25" s="1263"/>
      <c r="L25" s="1254"/>
      <c r="M25" s="629"/>
      <c r="N25" s="1272"/>
      <c r="O25" s="1268" t="s">
        <v>103</v>
      </c>
      <c r="P25" s="628" t="s">
        <v>104</v>
      </c>
      <c r="Q25" s="629">
        <v>21153870</v>
      </c>
      <c r="R25" s="1364">
        <v>293000938</v>
      </c>
      <c r="S25" s="1257">
        <v>293000938</v>
      </c>
      <c r="T25" s="1804">
        <f>C25+F25+I25+L25+Q25</f>
        <v>21153870</v>
      </c>
      <c r="U25" s="1805">
        <f>SUM(D25,G25,J25,M25,R25)</f>
        <v>293000938</v>
      </c>
      <c r="V25" s="1805">
        <f>SUM(E25,H25,K25,N25,S25)</f>
        <v>293000938</v>
      </c>
      <c r="W25"/>
      <c r="X25" s="102"/>
      <c r="Y25" s="92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5" s="112" customFormat="1" ht="18" customHeight="1" thickBot="1">
      <c r="A26" s="106"/>
      <c r="B26" s="1247" t="s">
        <v>105</v>
      </c>
      <c r="C26" s="1260">
        <f t="shared" ref="C26:N26" si="6">SUM(C17,C24)+C25</f>
        <v>405612000</v>
      </c>
      <c r="D26" s="108">
        <f t="shared" si="6"/>
        <v>423574491</v>
      </c>
      <c r="E26" s="1261">
        <f t="shared" si="6"/>
        <v>388872505.62</v>
      </c>
      <c r="F26" s="1260">
        <f t="shared" si="6"/>
        <v>358768000</v>
      </c>
      <c r="G26" s="108">
        <f t="shared" si="6"/>
        <v>377047178</v>
      </c>
      <c r="H26" s="1261">
        <f t="shared" si="6"/>
        <v>369536279.04000002</v>
      </c>
      <c r="I26" s="1260">
        <f t="shared" si="6"/>
        <v>181597000</v>
      </c>
      <c r="J26" s="108">
        <f t="shared" si="6"/>
        <v>212281424</v>
      </c>
      <c r="K26" s="1261">
        <f t="shared" si="6"/>
        <v>192240410.33000001</v>
      </c>
      <c r="L26" s="1260">
        <f t="shared" si="6"/>
        <v>204312000</v>
      </c>
      <c r="M26" s="108">
        <f t="shared" si="6"/>
        <v>231094600</v>
      </c>
      <c r="N26" s="1274">
        <f t="shared" si="6"/>
        <v>220866701.28</v>
      </c>
      <c r="O26" s="109"/>
      <c r="P26" s="107" t="s">
        <v>105</v>
      </c>
      <c r="Q26" s="110">
        <f t="shared" ref="Q26:V26" si="7">SUM(Q17,Q24)+Q25</f>
        <v>4310827870</v>
      </c>
      <c r="R26" s="110">
        <f t="shared" si="7"/>
        <v>5337528938</v>
      </c>
      <c r="S26" s="1261">
        <f t="shared" si="7"/>
        <v>1918363898.76</v>
      </c>
      <c r="T26" s="1806">
        <f t="shared" si="7"/>
        <v>5461116870</v>
      </c>
      <c r="U26" s="1807">
        <f t="shared" si="7"/>
        <v>6581526631</v>
      </c>
      <c r="V26" s="1808">
        <f t="shared" si="7"/>
        <v>3089879795.0299997</v>
      </c>
      <c r="W26" s="92"/>
      <c r="X26" s="2"/>
      <c r="Y26" s="111"/>
    </row>
    <row r="27" spans="1:1025" s="115" customFormat="1" ht="18" customHeight="1">
      <c r="A27" s="1378" t="s">
        <v>106</v>
      </c>
      <c r="B27" s="1379" t="s">
        <v>107</v>
      </c>
      <c r="C27" s="1380">
        <v>40</v>
      </c>
      <c r="D27" s="1381">
        <v>44</v>
      </c>
      <c r="E27" s="1382">
        <v>44</v>
      </c>
      <c r="F27" s="1380">
        <v>41</v>
      </c>
      <c r="G27" s="1381">
        <v>41</v>
      </c>
      <c r="H27" s="1382">
        <v>41</v>
      </c>
      <c r="I27" s="1380">
        <v>11</v>
      </c>
      <c r="J27" s="1381">
        <v>12</v>
      </c>
      <c r="K27" s="1382">
        <v>12</v>
      </c>
      <c r="L27" s="1380">
        <v>24</v>
      </c>
      <c r="M27" s="1434">
        <v>24</v>
      </c>
      <c r="N27" s="1435">
        <v>24</v>
      </c>
      <c r="O27" s="1383" t="s">
        <v>106</v>
      </c>
      <c r="P27" s="1384" t="s">
        <v>107</v>
      </c>
      <c r="Q27" s="1385">
        <v>1</v>
      </c>
      <c r="R27" s="1381">
        <v>2</v>
      </c>
      <c r="S27" s="1382">
        <v>2</v>
      </c>
      <c r="T27" s="1386">
        <f>SUM(C27,F27,I27,L27,Q27)</f>
        <v>117</v>
      </c>
      <c r="U27" s="1438">
        <f t="shared" ref="T27:V28" si="8">SUM(D27,G27,J27,M27,R27)</f>
        <v>123</v>
      </c>
      <c r="V27" s="1438">
        <f t="shared" si="8"/>
        <v>123</v>
      </c>
      <c r="W27" s="10"/>
      <c r="X27" s="1387"/>
      <c r="Y27" s="1388"/>
      <c r="Z27" s="6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</row>
    <row r="28" spans="1:1025" s="115" customFormat="1" ht="18" customHeight="1">
      <c r="A28" s="1378" t="s">
        <v>108</v>
      </c>
      <c r="B28" s="1389" t="s">
        <v>1488</v>
      </c>
      <c r="C28" s="1390">
        <v>0</v>
      </c>
      <c r="D28" s="1391">
        <v>0</v>
      </c>
      <c r="E28" s="1392">
        <v>0</v>
      </c>
      <c r="F28" s="1390">
        <v>0</v>
      </c>
      <c r="G28" s="1381">
        <v>0</v>
      </c>
      <c r="H28" s="1382">
        <v>0</v>
      </c>
      <c r="I28" s="1380">
        <v>0</v>
      </c>
      <c r="J28" s="1381">
        <v>0</v>
      </c>
      <c r="K28" s="1382">
        <v>0</v>
      </c>
      <c r="L28" s="1380">
        <v>0</v>
      </c>
      <c r="M28" s="1434">
        <v>0</v>
      </c>
      <c r="N28" s="1435">
        <v>0</v>
      </c>
      <c r="O28" s="1393"/>
      <c r="P28" s="1394" t="s">
        <v>1488</v>
      </c>
      <c r="Q28" s="1385">
        <v>0</v>
      </c>
      <c r="R28" s="1381">
        <v>0</v>
      </c>
      <c r="S28" s="1382">
        <v>0</v>
      </c>
      <c r="T28" s="1386">
        <f t="shared" si="8"/>
        <v>0</v>
      </c>
      <c r="U28" s="1438">
        <f t="shared" si="8"/>
        <v>0</v>
      </c>
      <c r="V28" s="1438">
        <f t="shared" si="8"/>
        <v>0</v>
      </c>
      <c r="W28" s="10"/>
      <c r="X28" s="1387"/>
      <c r="Y28" s="1388"/>
      <c r="Z28" s="6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</row>
    <row r="29" spans="1:1025" s="115" customFormat="1" ht="18" customHeight="1">
      <c r="A29" s="1378" t="s">
        <v>109</v>
      </c>
      <c r="B29" s="1389" t="s">
        <v>1807</v>
      </c>
      <c r="C29" s="1390">
        <v>0</v>
      </c>
      <c r="D29" s="1391">
        <v>0</v>
      </c>
      <c r="E29" s="1392">
        <v>0</v>
      </c>
      <c r="F29" s="1390">
        <v>0</v>
      </c>
      <c r="G29" s="1381">
        <v>0</v>
      </c>
      <c r="H29" s="1382">
        <v>0</v>
      </c>
      <c r="I29" s="1380">
        <v>0</v>
      </c>
      <c r="J29" s="1381">
        <v>0</v>
      </c>
      <c r="K29" s="1382">
        <v>0</v>
      </c>
      <c r="L29" s="1380">
        <v>0</v>
      </c>
      <c r="M29" s="1434">
        <v>0</v>
      </c>
      <c r="N29" s="1435">
        <v>0</v>
      </c>
      <c r="O29" s="1393"/>
      <c r="P29" s="1395" t="s">
        <v>1807</v>
      </c>
      <c r="Q29" s="1385">
        <v>8</v>
      </c>
      <c r="R29" s="1381">
        <v>8</v>
      </c>
      <c r="S29" s="1382">
        <v>8</v>
      </c>
      <c r="T29" s="1386">
        <f>SUM(C29,F29,I29,L29,Q29)</f>
        <v>8</v>
      </c>
      <c r="U29" s="1438">
        <f>SUM(D29,G29,J29,M29,R29)</f>
        <v>8</v>
      </c>
      <c r="V29" s="1438">
        <f>SUM(E29,H29,K29,N29,S29)</f>
        <v>8</v>
      </c>
      <c r="W29" s="10"/>
      <c r="X29" s="1387"/>
      <c r="Y29" s="1388"/>
      <c r="Z29" s="6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</row>
    <row r="30" spans="1:1025" s="115" customFormat="1" ht="18" customHeight="1">
      <c r="A30" s="1378" t="s">
        <v>111</v>
      </c>
      <c r="B30" s="1396" t="s">
        <v>110</v>
      </c>
      <c r="C30" s="1397">
        <v>0</v>
      </c>
      <c r="D30" s="1398">
        <v>0</v>
      </c>
      <c r="E30" s="1399">
        <v>0</v>
      </c>
      <c r="F30" s="1390">
        <v>0</v>
      </c>
      <c r="G30" s="1381">
        <v>0</v>
      </c>
      <c r="H30" s="1392">
        <v>0</v>
      </c>
      <c r="I30" s="1380">
        <v>0</v>
      </c>
      <c r="J30" s="1381">
        <v>0</v>
      </c>
      <c r="K30" s="1382">
        <v>0</v>
      </c>
      <c r="L30" s="1380">
        <v>0</v>
      </c>
      <c r="M30" s="1434">
        <v>0</v>
      </c>
      <c r="N30" s="1435">
        <v>0</v>
      </c>
      <c r="O30" s="1400" t="s">
        <v>109</v>
      </c>
      <c r="P30" s="1401" t="s">
        <v>110</v>
      </c>
      <c r="Q30" s="1385">
        <v>0</v>
      </c>
      <c r="R30" s="1391">
        <v>0</v>
      </c>
      <c r="S30" s="1392">
        <v>0</v>
      </c>
      <c r="T30" s="1386">
        <f t="shared" ref="T30:V31" si="9">SUM(C30,F30,I30,L30,Q30)</f>
        <v>0</v>
      </c>
      <c r="U30" s="1438">
        <f t="shared" si="9"/>
        <v>0</v>
      </c>
      <c r="V30" s="1438">
        <f t="shared" si="9"/>
        <v>0</v>
      </c>
      <c r="W30" s="10"/>
      <c r="X30" s="1387"/>
      <c r="Y30" s="1388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</row>
    <row r="31" spans="1:1025" s="115" customFormat="1" ht="18" customHeight="1">
      <c r="A31" s="1378" t="s">
        <v>112</v>
      </c>
      <c r="B31" s="1396" t="s">
        <v>2175</v>
      </c>
      <c r="C31" s="1397">
        <v>0</v>
      </c>
      <c r="D31" s="1398">
        <v>0</v>
      </c>
      <c r="E31" s="1399">
        <v>0</v>
      </c>
      <c r="F31" s="1390">
        <v>0</v>
      </c>
      <c r="G31" s="1381">
        <v>0</v>
      </c>
      <c r="H31" s="1392">
        <v>0</v>
      </c>
      <c r="I31" s="1380">
        <v>0</v>
      </c>
      <c r="J31" s="1381">
        <v>0</v>
      </c>
      <c r="K31" s="1382">
        <v>0</v>
      </c>
      <c r="L31" s="1380">
        <v>0</v>
      </c>
      <c r="M31" s="1434">
        <v>0</v>
      </c>
      <c r="N31" s="1435">
        <v>0</v>
      </c>
      <c r="O31" s="1393" t="s">
        <v>111</v>
      </c>
      <c r="P31" s="1401" t="s">
        <v>2178</v>
      </c>
      <c r="Q31" s="1385">
        <v>0</v>
      </c>
      <c r="R31" s="1391">
        <v>0</v>
      </c>
      <c r="S31" s="1392">
        <v>0</v>
      </c>
      <c r="T31" s="1386">
        <f t="shared" si="9"/>
        <v>0</v>
      </c>
      <c r="U31" s="1438">
        <f t="shared" si="9"/>
        <v>0</v>
      </c>
      <c r="V31" s="1438">
        <f>SUM(E31,H31,K31,N31,S31)</f>
        <v>0</v>
      </c>
      <c r="W31" s="10"/>
      <c r="X31" s="1387"/>
      <c r="Y31" s="1388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</row>
    <row r="32" spans="1:1025" s="115" customFormat="1" ht="18" customHeight="1" thickBot="1">
      <c r="A32" s="1402" t="s">
        <v>113</v>
      </c>
      <c r="B32" s="1396" t="s">
        <v>2176</v>
      </c>
      <c r="C32" s="1397">
        <v>5</v>
      </c>
      <c r="D32" s="1398">
        <v>4</v>
      </c>
      <c r="E32" s="1399">
        <v>4</v>
      </c>
      <c r="F32" s="1397">
        <v>8</v>
      </c>
      <c r="G32" s="1398">
        <v>7</v>
      </c>
      <c r="H32" s="1399">
        <v>7</v>
      </c>
      <c r="I32" s="1403">
        <v>3</v>
      </c>
      <c r="J32" s="1404">
        <v>5</v>
      </c>
      <c r="K32" s="1405">
        <v>5</v>
      </c>
      <c r="L32" s="1380">
        <v>0</v>
      </c>
      <c r="M32" s="1434">
        <v>0</v>
      </c>
      <c r="N32" s="1435">
        <v>0</v>
      </c>
      <c r="O32" s="1407" t="s">
        <v>112</v>
      </c>
      <c r="P32" s="1401" t="s">
        <v>2176</v>
      </c>
      <c r="Q32" s="1406">
        <v>15</v>
      </c>
      <c r="R32" s="1398">
        <v>16</v>
      </c>
      <c r="S32" s="1399">
        <v>16</v>
      </c>
      <c r="T32" s="1408">
        <f>SUM(C32,F32,I32,L32,Q32)</f>
        <v>31</v>
      </c>
      <c r="U32" s="1439">
        <f>SUM(D32,G32,J32,M32,R32)</f>
        <v>32</v>
      </c>
      <c r="V32" s="1439">
        <f>SUM(E32,H32,K32,N32,S32)</f>
        <v>32</v>
      </c>
      <c r="W32" s="10"/>
      <c r="X32" s="1387"/>
      <c r="Y32" s="1388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</row>
    <row r="33" spans="1:1025" s="119" customFormat="1" ht="18" customHeight="1" thickTop="1">
      <c r="A33" s="1409" t="s">
        <v>392</v>
      </c>
      <c r="B33" s="1410" t="s">
        <v>2177</v>
      </c>
      <c r="C33" s="1411">
        <f t="shared" ref="C33:N33" si="10">SUM(C27:C32)</f>
        <v>45</v>
      </c>
      <c r="D33" s="1412">
        <f t="shared" si="10"/>
        <v>48</v>
      </c>
      <c r="E33" s="1413">
        <f t="shared" si="10"/>
        <v>48</v>
      </c>
      <c r="F33" s="1411">
        <f t="shared" si="10"/>
        <v>49</v>
      </c>
      <c r="G33" s="1412">
        <f t="shared" si="10"/>
        <v>48</v>
      </c>
      <c r="H33" s="1413">
        <f t="shared" si="10"/>
        <v>48</v>
      </c>
      <c r="I33" s="1411">
        <f t="shared" si="10"/>
        <v>14</v>
      </c>
      <c r="J33" s="1412">
        <f t="shared" si="10"/>
        <v>17</v>
      </c>
      <c r="K33" s="1413">
        <f t="shared" si="10"/>
        <v>17</v>
      </c>
      <c r="L33" s="1411">
        <f t="shared" si="10"/>
        <v>24</v>
      </c>
      <c r="M33" s="1436">
        <f t="shared" si="10"/>
        <v>24</v>
      </c>
      <c r="N33" s="1437">
        <f t="shared" si="10"/>
        <v>24</v>
      </c>
      <c r="O33" s="1414" t="s">
        <v>113</v>
      </c>
      <c r="P33" s="1409" t="s">
        <v>2177</v>
      </c>
      <c r="Q33" s="1415">
        <f>SUM(Q27:Q32)</f>
        <v>24</v>
      </c>
      <c r="R33" s="1415">
        <f>SUM(R27:R32)</f>
        <v>26</v>
      </c>
      <c r="S33" s="1413">
        <f>SUM(S27:S32)</f>
        <v>26</v>
      </c>
      <c r="T33" s="1416">
        <f>SUM(T27:T32)</f>
        <v>156</v>
      </c>
      <c r="U33" s="1436">
        <f>SUM(D33,G33,J33,M33,R33)</f>
        <v>163</v>
      </c>
      <c r="V33" s="1436">
        <f>SUM(E33,H33,K33,N33,S33)</f>
        <v>163</v>
      </c>
      <c r="W33" s="1417"/>
      <c r="X33" s="1418"/>
      <c r="Y33" s="1417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  <c r="UA33" s="9"/>
      <c r="UB33" s="9"/>
      <c r="UC33" s="9"/>
      <c r="UD33" s="9"/>
      <c r="UE33" s="9"/>
      <c r="UF33" s="9"/>
      <c r="UG33" s="9"/>
      <c r="UH33" s="9"/>
      <c r="UI33" s="9"/>
      <c r="UJ33" s="9"/>
      <c r="UK33" s="9"/>
      <c r="UL33" s="9"/>
      <c r="UM33" s="9"/>
      <c r="UN33" s="9"/>
      <c r="UO33" s="9"/>
      <c r="UP33" s="9"/>
      <c r="UQ33" s="9"/>
      <c r="UR33" s="9"/>
      <c r="US33" s="9"/>
      <c r="UT33" s="9"/>
      <c r="UU33" s="9"/>
      <c r="UV33" s="9"/>
      <c r="UW33" s="9"/>
      <c r="UX33" s="9"/>
      <c r="UY33" s="9"/>
      <c r="UZ33" s="9"/>
      <c r="VA33" s="9"/>
      <c r="VB33" s="9"/>
      <c r="VC33" s="9"/>
      <c r="VD33" s="9"/>
      <c r="VE33" s="9"/>
      <c r="VF33" s="9"/>
      <c r="VG33" s="9"/>
      <c r="VH33" s="9"/>
      <c r="VI33" s="9"/>
      <c r="VJ33" s="9"/>
      <c r="VK33" s="9"/>
      <c r="VL33" s="9"/>
      <c r="VM33" s="9"/>
      <c r="VN33" s="9"/>
      <c r="VO33" s="9"/>
      <c r="VP33" s="9"/>
      <c r="VQ33" s="9"/>
      <c r="VR33" s="9"/>
      <c r="VS33" s="9"/>
      <c r="VT33" s="9"/>
      <c r="VU33" s="9"/>
      <c r="VV33" s="9"/>
      <c r="VW33" s="9"/>
      <c r="VX33" s="9"/>
      <c r="VY33" s="9"/>
      <c r="VZ33" s="9"/>
      <c r="WA33" s="9"/>
      <c r="WB33" s="9"/>
      <c r="WC33" s="9"/>
      <c r="WD33" s="9"/>
      <c r="WE33" s="9"/>
      <c r="WF33" s="9"/>
      <c r="WG33" s="9"/>
      <c r="WH33" s="9"/>
      <c r="WI33" s="9"/>
      <c r="WJ33" s="9"/>
      <c r="WK33" s="9"/>
      <c r="WL33" s="9"/>
      <c r="WM33" s="9"/>
      <c r="WN33" s="9"/>
      <c r="WO33" s="9"/>
      <c r="WP33" s="9"/>
      <c r="WQ33" s="9"/>
      <c r="WR33" s="9"/>
      <c r="WS33" s="9"/>
      <c r="WT33" s="9"/>
      <c r="WU33" s="9"/>
      <c r="WV33" s="9"/>
      <c r="WW33" s="9"/>
      <c r="WX33" s="9"/>
      <c r="WY33" s="9"/>
      <c r="WZ33" s="9"/>
      <c r="XA33" s="9"/>
      <c r="XB33" s="9"/>
      <c r="XC33" s="9"/>
      <c r="XD33" s="9"/>
      <c r="XE33" s="9"/>
      <c r="XF33" s="9"/>
      <c r="XG33" s="9"/>
      <c r="XH33" s="9"/>
      <c r="XI33" s="9"/>
      <c r="XJ33" s="9"/>
      <c r="XK33" s="9"/>
      <c r="XL33" s="9"/>
      <c r="XM33" s="9"/>
      <c r="XN33" s="9"/>
      <c r="XO33" s="9"/>
      <c r="XP33" s="9"/>
      <c r="XQ33" s="9"/>
      <c r="XR33" s="9"/>
      <c r="XS33" s="9"/>
      <c r="XT33" s="9"/>
      <c r="XU33" s="9"/>
      <c r="XV33" s="9"/>
      <c r="XW33" s="9"/>
      <c r="XX33" s="9"/>
      <c r="XY33" s="9"/>
      <c r="XZ33" s="9"/>
      <c r="YA33" s="9"/>
      <c r="YB33" s="9"/>
      <c r="YC33" s="9"/>
      <c r="YD33" s="9"/>
      <c r="YE33" s="9"/>
      <c r="YF33" s="9"/>
      <c r="YG33" s="9"/>
      <c r="YH33" s="9"/>
      <c r="YI33" s="9"/>
      <c r="YJ33" s="9"/>
      <c r="YK33" s="9"/>
      <c r="YL33" s="9"/>
      <c r="YM33" s="9"/>
      <c r="YN33" s="9"/>
      <c r="YO33" s="9"/>
      <c r="YP33" s="9"/>
      <c r="YQ33" s="9"/>
      <c r="YR33" s="9"/>
      <c r="YS33" s="9"/>
      <c r="YT33" s="9"/>
      <c r="YU33" s="9"/>
      <c r="YV33" s="9"/>
      <c r="YW33" s="9"/>
      <c r="YX33" s="9"/>
      <c r="YY33" s="9"/>
      <c r="YZ33" s="9"/>
      <c r="ZA33" s="9"/>
      <c r="ZB33" s="9"/>
      <c r="ZC33" s="9"/>
      <c r="ZD33" s="9"/>
      <c r="ZE33" s="9"/>
      <c r="ZF33" s="9"/>
      <c r="ZG33" s="9"/>
      <c r="ZH33" s="9"/>
      <c r="ZI33" s="9"/>
      <c r="ZJ33" s="9"/>
      <c r="ZK33" s="9"/>
      <c r="ZL33" s="9"/>
      <c r="ZM33" s="9"/>
      <c r="ZN33" s="9"/>
      <c r="ZO33" s="9"/>
      <c r="ZP33" s="9"/>
      <c r="ZQ33" s="9"/>
      <c r="ZR33" s="9"/>
      <c r="ZS33" s="9"/>
      <c r="ZT33" s="9"/>
      <c r="ZU33" s="9"/>
      <c r="ZV33" s="9"/>
      <c r="ZW33" s="9"/>
      <c r="ZX33" s="9"/>
      <c r="ZY33" s="9"/>
      <c r="ZZ33" s="9"/>
      <c r="AAA33" s="9"/>
      <c r="AAB33" s="9"/>
      <c r="AAC33" s="9"/>
      <c r="AAD33" s="9"/>
      <c r="AAE33" s="9"/>
      <c r="AAF33" s="9"/>
      <c r="AAG33" s="9"/>
      <c r="AAH33" s="9"/>
      <c r="AAI33" s="9"/>
      <c r="AAJ33" s="9"/>
      <c r="AAK33" s="9"/>
      <c r="AAL33" s="9"/>
      <c r="AAM33" s="9"/>
      <c r="AAN33" s="9"/>
      <c r="AAO33" s="9"/>
      <c r="AAP33" s="9"/>
      <c r="AAQ33" s="9"/>
      <c r="AAR33" s="9"/>
      <c r="AAS33" s="9"/>
      <c r="AAT33" s="9"/>
      <c r="AAU33" s="9"/>
      <c r="AAV33" s="9"/>
      <c r="AAW33" s="9"/>
      <c r="AAX33" s="9"/>
      <c r="AAY33" s="9"/>
      <c r="AAZ33" s="9"/>
      <c r="ABA33" s="9"/>
      <c r="ABB33" s="9"/>
      <c r="ABC33" s="9"/>
      <c r="ABD33" s="9"/>
      <c r="ABE33" s="9"/>
      <c r="ABF33" s="9"/>
      <c r="ABG33" s="9"/>
      <c r="ABH33" s="9"/>
      <c r="ABI33" s="9"/>
      <c r="ABJ33" s="9"/>
      <c r="ABK33" s="9"/>
      <c r="ABL33" s="9"/>
      <c r="ABM33" s="9"/>
      <c r="ABN33" s="9"/>
      <c r="ABO33" s="9"/>
      <c r="ABP33" s="9"/>
      <c r="ABQ33" s="9"/>
      <c r="ABR33" s="9"/>
      <c r="ABS33" s="9"/>
      <c r="ABT33" s="9"/>
      <c r="ABU33" s="9"/>
      <c r="ABV33" s="9"/>
      <c r="ABW33" s="9"/>
      <c r="ABX33" s="9"/>
      <c r="ABY33" s="9"/>
      <c r="ABZ33" s="9"/>
      <c r="ACA33" s="9"/>
      <c r="ACB33" s="9"/>
      <c r="ACC33" s="9"/>
      <c r="ACD33" s="9"/>
      <c r="ACE33" s="9"/>
      <c r="ACF33" s="9"/>
      <c r="ACG33" s="9"/>
      <c r="ACH33" s="9"/>
      <c r="ACI33" s="9"/>
      <c r="ACJ33" s="9"/>
      <c r="ACK33" s="9"/>
      <c r="ACL33" s="9"/>
      <c r="ACM33" s="9"/>
      <c r="ACN33" s="9"/>
      <c r="ACO33" s="9"/>
      <c r="ACP33" s="9"/>
      <c r="ACQ33" s="9"/>
      <c r="ACR33" s="9"/>
      <c r="ACS33" s="9"/>
      <c r="ACT33" s="9"/>
      <c r="ACU33" s="9"/>
      <c r="ACV33" s="9"/>
      <c r="ACW33" s="9"/>
      <c r="ACX33" s="9"/>
      <c r="ACY33" s="9"/>
      <c r="ACZ33" s="9"/>
      <c r="ADA33" s="9"/>
      <c r="ADB33" s="9"/>
      <c r="ADC33" s="9"/>
      <c r="ADD33" s="9"/>
      <c r="ADE33" s="9"/>
      <c r="ADF33" s="9"/>
      <c r="ADG33" s="9"/>
      <c r="ADH33" s="9"/>
      <c r="ADI33" s="9"/>
      <c r="ADJ33" s="9"/>
      <c r="ADK33" s="9"/>
      <c r="ADL33" s="9"/>
      <c r="ADM33" s="9"/>
      <c r="ADN33" s="9"/>
      <c r="ADO33" s="9"/>
      <c r="ADP33" s="9"/>
      <c r="ADQ33" s="9"/>
      <c r="ADR33" s="9"/>
      <c r="ADS33" s="9"/>
      <c r="ADT33" s="9"/>
      <c r="ADU33" s="9"/>
      <c r="ADV33" s="9"/>
      <c r="ADW33" s="9"/>
      <c r="ADX33" s="9"/>
      <c r="ADY33" s="9"/>
      <c r="ADZ33" s="9"/>
      <c r="AEA33" s="9"/>
      <c r="AEB33" s="9"/>
      <c r="AEC33" s="9"/>
      <c r="AED33" s="9"/>
      <c r="AEE33" s="9"/>
      <c r="AEF33" s="9"/>
      <c r="AEG33" s="9"/>
      <c r="AEH33" s="9"/>
      <c r="AEI33" s="9"/>
      <c r="AEJ33" s="9"/>
      <c r="AEK33" s="9"/>
      <c r="AEL33" s="9"/>
      <c r="AEM33" s="9"/>
      <c r="AEN33" s="9"/>
      <c r="AEO33" s="9"/>
      <c r="AEP33" s="9"/>
      <c r="AEQ33" s="9"/>
      <c r="AER33" s="9"/>
      <c r="AES33" s="9"/>
      <c r="AET33" s="9"/>
      <c r="AEU33" s="9"/>
      <c r="AEV33" s="9"/>
      <c r="AEW33" s="9"/>
      <c r="AEX33" s="9"/>
      <c r="AEY33" s="9"/>
      <c r="AEZ33" s="9"/>
      <c r="AFA33" s="9"/>
      <c r="AFB33" s="9"/>
      <c r="AFC33" s="9"/>
      <c r="AFD33" s="9"/>
      <c r="AFE33" s="9"/>
      <c r="AFF33" s="9"/>
      <c r="AFG33" s="9"/>
      <c r="AFH33" s="9"/>
      <c r="AFI33" s="9"/>
      <c r="AFJ33" s="9"/>
      <c r="AFK33" s="9"/>
      <c r="AFL33" s="9"/>
      <c r="AFM33" s="9"/>
      <c r="AFN33" s="9"/>
      <c r="AFO33" s="9"/>
      <c r="AFP33" s="9"/>
      <c r="AFQ33" s="9"/>
      <c r="AFR33" s="9"/>
      <c r="AFS33" s="9"/>
      <c r="AFT33" s="9"/>
      <c r="AFU33" s="9"/>
      <c r="AFV33" s="9"/>
      <c r="AFW33" s="9"/>
      <c r="AFX33" s="9"/>
      <c r="AFY33" s="9"/>
      <c r="AFZ33" s="9"/>
      <c r="AGA33" s="9"/>
      <c r="AGB33" s="9"/>
      <c r="AGC33" s="9"/>
      <c r="AGD33" s="9"/>
      <c r="AGE33" s="9"/>
      <c r="AGF33" s="9"/>
      <c r="AGG33" s="9"/>
      <c r="AGH33" s="9"/>
      <c r="AGI33" s="9"/>
      <c r="AGJ33" s="9"/>
      <c r="AGK33" s="9"/>
      <c r="AGL33" s="9"/>
      <c r="AGM33" s="9"/>
      <c r="AGN33" s="9"/>
      <c r="AGO33" s="9"/>
      <c r="AGP33" s="9"/>
      <c r="AGQ33" s="9"/>
      <c r="AGR33" s="9"/>
      <c r="AGS33" s="9"/>
      <c r="AGT33" s="9"/>
      <c r="AGU33" s="9"/>
      <c r="AGV33" s="9"/>
      <c r="AGW33" s="9"/>
      <c r="AGX33" s="9"/>
      <c r="AGY33" s="9"/>
      <c r="AGZ33" s="9"/>
      <c r="AHA33" s="9"/>
      <c r="AHB33" s="9"/>
      <c r="AHC33" s="9"/>
      <c r="AHD33" s="9"/>
      <c r="AHE33" s="9"/>
      <c r="AHF33" s="9"/>
      <c r="AHG33" s="9"/>
      <c r="AHH33" s="9"/>
      <c r="AHI33" s="9"/>
      <c r="AHJ33" s="9"/>
      <c r="AHK33" s="9"/>
      <c r="AHL33" s="9"/>
      <c r="AHM33" s="9"/>
      <c r="AHN33" s="9"/>
      <c r="AHO33" s="9"/>
      <c r="AHP33" s="9"/>
      <c r="AHQ33" s="9"/>
      <c r="AHR33" s="9"/>
      <c r="AHS33" s="9"/>
      <c r="AHT33" s="9"/>
      <c r="AHU33" s="9"/>
      <c r="AHV33" s="9"/>
      <c r="AHW33" s="9"/>
      <c r="AHX33" s="9"/>
      <c r="AHY33" s="9"/>
      <c r="AHZ33" s="9"/>
      <c r="AIA33" s="9"/>
      <c r="AIB33" s="9"/>
      <c r="AIC33" s="9"/>
      <c r="AID33" s="9"/>
      <c r="AIE33" s="9"/>
      <c r="AIF33" s="9"/>
      <c r="AIG33" s="9"/>
      <c r="AIH33" s="9"/>
      <c r="AII33" s="9"/>
      <c r="AIJ33" s="9"/>
      <c r="AIK33" s="9"/>
      <c r="AIL33" s="9"/>
      <c r="AIM33" s="9"/>
      <c r="AIN33" s="9"/>
      <c r="AIO33" s="9"/>
      <c r="AIP33" s="9"/>
      <c r="AIQ33" s="9"/>
      <c r="AIR33" s="9"/>
      <c r="AIS33" s="9"/>
      <c r="AIT33" s="9"/>
      <c r="AIU33" s="9"/>
      <c r="AIV33" s="9"/>
      <c r="AIW33" s="9"/>
      <c r="AIX33" s="9"/>
      <c r="AIY33" s="9"/>
      <c r="AIZ33" s="9"/>
      <c r="AJA33" s="9"/>
      <c r="AJB33" s="9"/>
      <c r="AJC33" s="9"/>
      <c r="AJD33" s="9"/>
      <c r="AJE33" s="9"/>
      <c r="AJF33" s="9"/>
      <c r="AJG33" s="9"/>
      <c r="AJH33" s="9"/>
      <c r="AJI33" s="9"/>
      <c r="AJJ33" s="9"/>
      <c r="AJK33" s="9"/>
      <c r="AJL33" s="9"/>
      <c r="AJM33" s="9"/>
      <c r="AJN33" s="9"/>
      <c r="AJO33" s="9"/>
      <c r="AJP33" s="9"/>
      <c r="AJQ33" s="9"/>
      <c r="AJR33" s="9"/>
      <c r="AJS33" s="9"/>
      <c r="AJT33" s="9"/>
      <c r="AJU33" s="9"/>
      <c r="AJV33" s="9"/>
      <c r="AJW33" s="9"/>
      <c r="AJX33" s="9"/>
      <c r="AJY33" s="9"/>
      <c r="AJZ33" s="9"/>
      <c r="AKA33" s="9"/>
      <c r="AKB33" s="9"/>
      <c r="AKC33" s="9"/>
      <c r="AKD33" s="9"/>
      <c r="AKE33" s="9"/>
      <c r="AKF33" s="9"/>
      <c r="AKG33" s="9"/>
      <c r="AKH33" s="9"/>
      <c r="AKI33" s="9"/>
      <c r="AKJ33" s="9"/>
      <c r="AKK33" s="9"/>
      <c r="AKL33" s="9"/>
      <c r="AKM33" s="9"/>
      <c r="AKN33" s="9"/>
      <c r="AKO33" s="9"/>
      <c r="AKP33" s="9"/>
      <c r="AKQ33" s="9"/>
      <c r="AKR33" s="9"/>
      <c r="AKS33" s="9"/>
      <c r="AKT33" s="9"/>
      <c r="AKU33" s="9"/>
      <c r="AKV33" s="9"/>
      <c r="AKW33" s="9"/>
      <c r="AKX33" s="9"/>
      <c r="AKY33" s="9"/>
      <c r="AKZ33" s="9"/>
      <c r="ALA33" s="9"/>
      <c r="ALB33" s="9"/>
      <c r="ALC33" s="9"/>
      <c r="ALD33" s="9"/>
      <c r="ALE33" s="9"/>
      <c r="ALF33" s="9"/>
      <c r="ALG33" s="9"/>
      <c r="ALH33" s="9"/>
      <c r="ALI33" s="9"/>
      <c r="ALJ33" s="9"/>
      <c r="ALK33" s="9"/>
      <c r="ALL33" s="9"/>
      <c r="ALM33" s="9"/>
      <c r="ALN33" s="9"/>
      <c r="ALO33" s="9"/>
      <c r="ALP33" s="9"/>
      <c r="ALQ33" s="9"/>
      <c r="ALR33" s="9"/>
      <c r="ALS33" s="9"/>
      <c r="ALT33" s="9"/>
      <c r="ALU33" s="9"/>
      <c r="ALV33" s="9"/>
      <c r="ALW33" s="9"/>
      <c r="ALX33" s="9"/>
      <c r="ALY33" s="9"/>
      <c r="ALZ33" s="9"/>
      <c r="AMA33" s="9"/>
      <c r="AMB33" s="9"/>
      <c r="AMC33" s="9"/>
      <c r="AMD33" s="9"/>
      <c r="AME33" s="9"/>
      <c r="AMF33" s="9"/>
      <c r="AMG33" s="9"/>
      <c r="AMH33" s="9"/>
      <c r="AMI33" s="9"/>
      <c r="AMJ33" s="9"/>
      <c r="AMK33" s="9"/>
    </row>
    <row r="34" spans="1:1025" s="115" customFormat="1">
      <c r="A34" s="133"/>
      <c r="B34" s="1" t="s">
        <v>114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0"/>
      <c r="X34" s="1"/>
      <c r="Y34" s="6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</row>
  </sheetData>
  <mergeCells count="8">
    <mergeCell ref="A3:N3"/>
    <mergeCell ref="O3:V3"/>
    <mergeCell ref="C6:E6"/>
    <mergeCell ref="F6:H6"/>
    <mergeCell ref="I6:K6"/>
    <mergeCell ref="L6:N6"/>
    <mergeCell ref="Q6:S6"/>
    <mergeCell ref="T6:V6"/>
  </mergeCells>
  <printOptions headings="1"/>
  <pageMargins left="0.59055118110236227" right="0.59055118110236227" top="0.39370078740157483" bottom="0.39370078740157483" header="0.11811023622047245" footer="0.51181102362204722"/>
  <pageSetup paperSize="9" scale="72" firstPageNumber="0" fitToWidth="2" fitToHeight="0" orientation="landscape" r:id="rId1"/>
  <headerFooter>
    <oddHeader>&amp;R&amp;A melléklet a /2026.(V.28.) önkormányzati rendelethez/ &amp;P.oldal</oddHeader>
  </headerFooter>
  <colBreaks count="1" manualBreakCount="1">
    <brk id="14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162"/>
  <sheetViews>
    <sheetView zoomScaleNormal="100" workbookViewId="0">
      <selection activeCell="M5" sqref="M5"/>
    </sheetView>
  </sheetViews>
  <sheetFormatPr defaultRowHeight="15.75"/>
  <cols>
    <col min="1" max="1" width="9.140625" style="116"/>
    <col min="2" max="2" width="7.28515625" style="1" customWidth="1"/>
    <col min="3" max="3" width="62.5703125" style="133" customWidth="1"/>
    <col min="4" max="4" width="12" style="863" bestFit="1" customWidth="1"/>
    <col min="5" max="5" width="12.28515625" style="864" bestFit="1" customWidth="1"/>
    <col min="6" max="6" width="12" style="865" bestFit="1" customWidth="1"/>
    <col min="7" max="7" width="15.7109375" style="133" bestFit="1" customWidth="1"/>
    <col min="8" max="8" width="43.85546875" style="745" hidden="1" customWidth="1"/>
    <col min="9" max="9" width="14.140625" style="745" hidden="1" customWidth="1"/>
    <col min="10" max="11" width="12.7109375" style="116" hidden="1" customWidth="1"/>
    <col min="12" max="1026" width="8.7109375" style="116"/>
    <col min="1027" max="16384" width="9.140625" style="116"/>
  </cols>
  <sheetData>
    <row r="1" spans="1:12">
      <c r="B1" s="748"/>
      <c r="C1" s="114"/>
      <c r="D1" s="749"/>
      <c r="E1" s="750"/>
      <c r="F1" s="751"/>
      <c r="G1" s="752"/>
    </row>
    <row r="2" spans="1:12" ht="30" customHeight="1">
      <c r="B2" s="2078" t="s">
        <v>2038</v>
      </c>
      <c r="C2" s="2078"/>
      <c r="D2" s="2078"/>
      <c r="E2" s="2078"/>
      <c r="F2" s="2078"/>
      <c r="G2" s="2078"/>
    </row>
    <row r="3" spans="1:12">
      <c r="B3" s="748"/>
      <c r="C3" s="114"/>
      <c r="D3" s="749"/>
      <c r="E3" s="750"/>
      <c r="F3" s="751"/>
      <c r="G3" s="753" t="s">
        <v>38</v>
      </c>
    </row>
    <row r="4" spans="1:12">
      <c r="B4" s="748"/>
      <c r="C4" s="114"/>
      <c r="D4" s="749"/>
      <c r="E4" s="750"/>
      <c r="F4" s="754"/>
      <c r="G4" s="752"/>
    </row>
    <row r="5" spans="1:12" ht="20.100000000000001" customHeight="1">
      <c r="B5" s="755" t="s">
        <v>117</v>
      </c>
      <c r="C5" s="114"/>
      <c r="D5" s="749"/>
      <c r="E5" s="750"/>
      <c r="F5" s="751"/>
      <c r="G5" s="752"/>
    </row>
    <row r="6" spans="1:12" ht="20.100000000000001" customHeight="1">
      <c r="B6" s="755"/>
      <c r="C6" s="114"/>
      <c r="D6" s="749"/>
      <c r="E6" s="750"/>
      <c r="F6" s="751"/>
      <c r="G6" s="752"/>
    </row>
    <row r="7" spans="1:12" ht="20.100000000000001" customHeight="1">
      <c r="A7" s="2055" t="s">
        <v>2214</v>
      </c>
      <c r="B7" s="2055"/>
      <c r="C7" s="2055"/>
      <c r="D7" s="749"/>
      <c r="E7" s="750"/>
      <c r="F7" s="751"/>
      <c r="G7" s="752"/>
      <c r="H7" s="2033" t="s">
        <v>2073</v>
      </c>
      <c r="I7" s="2033"/>
    </row>
    <row r="8" spans="1:12" ht="36" customHeight="1">
      <c r="A8" s="756"/>
      <c r="B8" s="2038" t="s">
        <v>68</v>
      </c>
      <c r="C8" s="2039"/>
      <c r="D8" s="741" t="s">
        <v>115</v>
      </c>
      <c r="E8" s="742" t="s">
        <v>116</v>
      </c>
      <c r="F8" s="743" t="s">
        <v>48</v>
      </c>
      <c r="G8" s="744" t="s">
        <v>1</v>
      </c>
      <c r="H8" s="757" t="s">
        <v>2071</v>
      </c>
      <c r="I8" s="757" t="s">
        <v>2072</v>
      </c>
    </row>
    <row r="9" spans="1:12" ht="20.100000000000001" customHeight="1">
      <c r="A9" s="764" t="s">
        <v>49</v>
      </c>
      <c r="B9" s="2097" t="s">
        <v>1598</v>
      </c>
      <c r="C9" s="2098"/>
      <c r="D9" s="759">
        <v>3000000</v>
      </c>
      <c r="E9" s="760">
        <v>3000000</v>
      </c>
      <c r="F9" s="761">
        <f>+I9</f>
        <v>1800000</v>
      </c>
      <c r="G9" s="762">
        <f t="shared" ref="G9:G72" si="0">(F9/E9)</f>
        <v>0.6</v>
      </c>
      <c r="H9" s="757">
        <f>600000+1200000</f>
        <v>1800000</v>
      </c>
      <c r="I9" s="757">
        <f>+H9</f>
        <v>1800000</v>
      </c>
      <c r="K9" s="763"/>
      <c r="L9" s="1527"/>
    </row>
    <row r="10" spans="1:12" ht="20.100000000000001" customHeight="1">
      <c r="A10" s="764" t="s">
        <v>51</v>
      </c>
      <c r="B10" s="2079" t="s">
        <v>1531</v>
      </c>
      <c r="C10" s="2080"/>
      <c r="D10" s="759">
        <v>3000000</v>
      </c>
      <c r="E10" s="760">
        <v>3000000</v>
      </c>
      <c r="F10" s="1441">
        <v>0</v>
      </c>
      <c r="G10" s="762">
        <f t="shared" si="0"/>
        <v>0</v>
      </c>
      <c r="H10" s="757"/>
      <c r="I10" s="757"/>
    </row>
    <row r="11" spans="1:12" ht="19.5" customHeight="1">
      <c r="A11" s="764" t="s">
        <v>53</v>
      </c>
      <c r="B11" s="2084" t="s">
        <v>1948</v>
      </c>
      <c r="C11" s="2085"/>
      <c r="D11" s="759">
        <v>223600000</v>
      </c>
      <c r="E11" s="760">
        <v>223600000</v>
      </c>
      <c r="F11" s="1441">
        <v>0</v>
      </c>
      <c r="G11" s="762">
        <f t="shared" si="0"/>
        <v>0</v>
      </c>
      <c r="H11" s="757"/>
      <c r="I11" s="757"/>
    </row>
    <row r="12" spans="1:12">
      <c r="A12" s="764" t="s">
        <v>55</v>
      </c>
      <c r="B12" s="2079" t="s">
        <v>1949</v>
      </c>
      <c r="C12" s="2080"/>
      <c r="D12" s="759">
        <v>135000000</v>
      </c>
      <c r="E12" s="760">
        <v>135000000</v>
      </c>
      <c r="F12" s="761">
        <f>+I12</f>
        <v>1130300</v>
      </c>
      <c r="G12" s="762">
        <f t="shared" si="0"/>
        <v>8.3725925925925929E-3</v>
      </c>
      <c r="H12" s="757">
        <v>890000</v>
      </c>
      <c r="I12" s="757">
        <f>+H12*1.27</f>
        <v>1130300</v>
      </c>
    </row>
    <row r="13" spans="1:12" ht="42" customHeight="1">
      <c r="A13" s="764" t="s">
        <v>58</v>
      </c>
      <c r="B13" s="2066" t="s">
        <v>1950</v>
      </c>
      <c r="C13" s="2081"/>
      <c r="D13" s="759">
        <v>20000000</v>
      </c>
      <c r="E13" s="760">
        <v>20000000</v>
      </c>
      <c r="F13" s="761">
        <f>+I13</f>
        <v>2227073.23</v>
      </c>
      <c r="G13" s="762">
        <f t="shared" si="0"/>
        <v>0.11135366149999999</v>
      </c>
      <c r="H13" s="757">
        <v>1661149</v>
      </c>
      <c r="I13" s="757">
        <f>+H13*1.27+36840+33618+12000+34956</f>
        <v>2227073.23</v>
      </c>
    </row>
    <row r="14" spans="1:12" ht="19.5" customHeight="1">
      <c r="A14" s="764" t="s">
        <v>60</v>
      </c>
      <c r="B14" s="2066" t="s">
        <v>1951</v>
      </c>
      <c r="C14" s="2081"/>
      <c r="D14" s="759">
        <v>3000000</v>
      </c>
      <c r="E14" s="760">
        <v>3000000</v>
      </c>
      <c r="F14" s="1441">
        <v>0</v>
      </c>
      <c r="G14" s="762">
        <f t="shared" si="0"/>
        <v>0</v>
      </c>
      <c r="H14" s="757"/>
      <c r="I14" s="757"/>
    </row>
    <row r="15" spans="1:12" ht="20.100000000000001" customHeight="1">
      <c r="A15" s="764" t="s">
        <v>62</v>
      </c>
      <c r="B15" s="2066" t="s">
        <v>1952</v>
      </c>
      <c r="C15" s="2081"/>
      <c r="D15" s="759">
        <v>6000000</v>
      </c>
      <c r="E15" s="760">
        <v>6000000</v>
      </c>
      <c r="F15" s="1441">
        <v>0</v>
      </c>
      <c r="G15" s="762">
        <f t="shared" si="0"/>
        <v>0</v>
      </c>
      <c r="H15" s="757"/>
      <c r="I15" s="757"/>
    </row>
    <row r="16" spans="1:12" ht="29.25" customHeight="1">
      <c r="A16" s="764" t="s">
        <v>65</v>
      </c>
      <c r="B16" s="2066" t="s">
        <v>1599</v>
      </c>
      <c r="C16" s="2081"/>
      <c r="D16" s="759">
        <v>30000000</v>
      </c>
      <c r="E16" s="760">
        <v>30000000</v>
      </c>
      <c r="F16" s="1441">
        <v>0</v>
      </c>
      <c r="G16" s="762">
        <f t="shared" si="0"/>
        <v>0</v>
      </c>
      <c r="H16" s="757"/>
      <c r="I16" s="757"/>
      <c r="K16" s="763"/>
    </row>
    <row r="17" spans="1:10" ht="19.5" customHeight="1">
      <c r="A17" s="764" t="s">
        <v>96</v>
      </c>
      <c r="B17" s="2066" t="s">
        <v>1953</v>
      </c>
      <c r="C17" s="2081"/>
      <c r="D17" s="759">
        <v>15000000</v>
      </c>
      <c r="E17" s="760">
        <v>15000000</v>
      </c>
      <c r="F17" s="761">
        <f>+I17</f>
        <v>14122082.5</v>
      </c>
      <c r="G17" s="762">
        <f t="shared" si="0"/>
        <v>0.94147216666666667</v>
      </c>
      <c r="H17" s="757">
        <f>980000+9789750+350000</f>
        <v>11119750</v>
      </c>
      <c r="I17" s="757">
        <f>+H17*1.27</f>
        <v>14122082.5</v>
      </c>
    </row>
    <row r="18" spans="1:10" ht="20.25" customHeight="1">
      <c r="A18" s="764" t="s">
        <v>98</v>
      </c>
      <c r="B18" s="2066" t="s">
        <v>1954</v>
      </c>
      <c r="C18" s="2081"/>
      <c r="D18" s="759">
        <v>10000000</v>
      </c>
      <c r="E18" s="760">
        <v>10000000</v>
      </c>
      <c r="F18" s="1441">
        <v>0</v>
      </c>
      <c r="G18" s="762">
        <f t="shared" si="0"/>
        <v>0</v>
      </c>
      <c r="H18" s="757"/>
      <c r="I18" s="757"/>
    </row>
    <row r="19" spans="1:10" s="766" customFormat="1" ht="32.25" customHeight="1">
      <c r="A19" s="764" t="s">
        <v>100</v>
      </c>
      <c r="B19" s="2066" t="s">
        <v>1955</v>
      </c>
      <c r="C19" s="2081"/>
      <c r="D19" s="759">
        <v>28000000</v>
      </c>
      <c r="E19" s="1442">
        <v>0</v>
      </c>
      <c r="F19" s="1441">
        <v>0</v>
      </c>
      <c r="G19" s="762">
        <v>0</v>
      </c>
      <c r="H19" s="765"/>
      <c r="I19" s="765"/>
    </row>
    <row r="20" spans="1:10" ht="30" customHeight="1">
      <c r="A20" s="764" t="s">
        <v>103</v>
      </c>
      <c r="B20" s="2082" t="s">
        <v>1956</v>
      </c>
      <c r="C20" s="2083"/>
      <c r="D20" s="759">
        <v>34000000</v>
      </c>
      <c r="E20" s="760">
        <v>34000000</v>
      </c>
      <c r="F20" s="761">
        <f>+I20</f>
        <v>33990390.490000002</v>
      </c>
      <c r="G20" s="762">
        <f t="shared" si="0"/>
        <v>0.99971736735294126</v>
      </c>
      <c r="H20" s="757">
        <v>26764087</v>
      </c>
      <c r="I20" s="757">
        <f>+H20*1.27</f>
        <v>33990390.490000002</v>
      </c>
    </row>
    <row r="21" spans="1:10">
      <c r="A21" s="764" t="s">
        <v>106</v>
      </c>
      <c r="B21" s="2082" t="s">
        <v>1957</v>
      </c>
      <c r="C21" s="2083"/>
      <c r="D21" s="759">
        <v>51000000</v>
      </c>
      <c r="E21" s="760">
        <v>40157000</v>
      </c>
      <c r="F21" s="761">
        <f>+I21</f>
        <v>37408793</v>
      </c>
      <c r="G21" s="762">
        <f t="shared" si="0"/>
        <v>0.93156343850387235</v>
      </c>
      <c r="H21" s="757">
        <v>650000</v>
      </c>
      <c r="I21" s="757">
        <f>+H21*1.27+36583293</f>
        <v>37408793</v>
      </c>
    </row>
    <row r="22" spans="1:10" ht="34.5" customHeight="1">
      <c r="A22" s="764" t="s">
        <v>108</v>
      </c>
      <c r="B22" s="2084" t="s">
        <v>1958</v>
      </c>
      <c r="C22" s="2085"/>
      <c r="D22" s="759">
        <v>87934000</v>
      </c>
      <c r="E22" s="760">
        <v>87934000</v>
      </c>
      <c r="F22" s="761">
        <f>+I22</f>
        <v>2413000</v>
      </c>
      <c r="G22" s="762">
        <f t="shared" si="0"/>
        <v>2.7441035321946004E-2</v>
      </c>
      <c r="H22" s="757">
        <v>1900000</v>
      </c>
      <c r="I22" s="757">
        <f>+H22*1.27</f>
        <v>2413000</v>
      </c>
    </row>
    <row r="23" spans="1:10" ht="41.25" customHeight="1">
      <c r="A23" s="764" t="s">
        <v>109</v>
      </c>
      <c r="B23" s="2066" t="s">
        <v>2082</v>
      </c>
      <c r="C23" s="2081"/>
      <c r="D23" s="759">
        <v>7000000</v>
      </c>
      <c r="E23" s="760">
        <v>7000000</v>
      </c>
      <c r="F23" s="761">
        <f>+I23</f>
        <v>2890424.75</v>
      </c>
      <c r="G23" s="762">
        <f t="shared" si="0"/>
        <v>0.41291782142857142</v>
      </c>
      <c r="H23" s="757">
        <v>2275925</v>
      </c>
      <c r="I23" s="757">
        <f>+H23*1.27</f>
        <v>2890424.75</v>
      </c>
    </row>
    <row r="24" spans="1:10" ht="17.25" customHeight="1">
      <c r="A24" s="764" t="s">
        <v>111</v>
      </c>
      <c r="B24" s="2066" t="s">
        <v>2074</v>
      </c>
      <c r="C24" s="2081"/>
      <c r="D24" s="759">
        <v>17000000</v>
      </c>
      <c r="E24" s="760">
        <v>17000000</v>
      </c>
      <c r="F24" s="761">
        <f>+I24</f>
        <v>14262023.800000001</v>
      </c>
      <c r="G24" s="762">
        <f t="shared" si="0"/>
        <v>0.83894257647058823</v>
      </c>
      <c r="H24" s="757">
        <v>11229940</v>
      </c>
      <c r="I24" s="757">
        <f>+H24*1.27</f>
        <v>14262023.800000001</v>
      </c>
    </row>
    <row r="25" spans="1:10" ht="19.5" customHeight="1">
      <c r="A25" s="764" t="s">
        <v>112</v>
      </c>
      <c r="B25" s="2066" t="s">
        <v>1959</v>
      </c>
      <c r="C25" s="2081"/>
      <c r="D25" s="759">
        <v>600000</v>
      </c>
      <c r="E25" s="760">
        <v>600000</v>
      </c>
      <c r="F25" s="1441">
        <v>0</v>
      </c>
      <c r="G25" s="762">
        <f t="shared" si="0"/>
        <v>0</v>
      </c>
      <c r="H25" s="757" t="s">
        <v>178</v>
      </c>
      <c r="I25" s="757"/>
    </row>
    <row r="26" spans="1:10" ht="31.5" customHeight="1">
      <c r="A26" s="764" t="s">
        <v>113</v>
      </c>
      <c r="B26" s="2066" t="s">
        <v>1960</v>
      </c>
      <c r="C26" s="2081"/>
      <c r="D26" s="759">
        <v>375000000</v>
      </c>
      <c r="E26" s="760">
        <v>375000000</v>
      </c>
      <c r="F26" s="761">
        <f>+I26</f>
        <v>127027718.31</v>
      </c>
      <c r="G26" s="762">
        <f t="shared" si="0"/>
        <v>0.33874058216000003</v>
      </c>
      <c r="H26" s="757">
        <f>2244995+1496663+2244995</f>
        <v>5986653</v>
      </c>
      <c r="I26" s="757">
        <f>+H26*1.27+560000+44574251+29716167+44574251</f>
        <v>127027718.31</v>
      </c>
      <c r="J26" s="767"/>
    </row>
    <row r="27" spans="1:10" ht="30" customHeight="1">
      <c r="A27" s="764" t="s">
        <v>392</v>
      </c>
      <c r="B27" s="2066" t="s">
        <v>1961</v>
      </c>
      <c r="C27" s="2081"/>
      <c r="D27" s="759">
        <v>106000000</v>
      </c>
      <c r="E27" s="760">
        <v>106000000</v>
      </c>
      <c r="F27" s="761">
        <f>+I27</f>
        <v>67307619</v>
      </c>
      <c r="G27" s="762">
        <f t="shared" si="0"/>
        <v>0.63497753773584908</v>
      </c>
      <c r="H27" s="757">
        <f>12324866+20541443+1575000+16433155+16433155</f>
        <v>67307619</v>
      </c>
      <c r="I27" s="757">
        <f>+H27</f>
        <v>67307619</v>
      </c>
    </row>
    <row r="28" spans="1:10" ht="30" customHeight="1">
      <c r="A28" s="764" t="s">
        <v>1962</v>
      </c>
      <c r="B28" s="2066" t="s">
        <v>1963</v>
      </c>
      <c r="C28" s="2081"/>
      <c r="D28" s="759">
        <v>325000000</v>
      </c>
      <c r="E28" s="760">
        <v>325000000</v>
      </c>
      <c r="F28" s="761">
        <f>+I28</f>
        <v>89274996</v>
      </c>
      <c r="G28" s="762">
        <f t="shared" si="0"/>
        <v>0.27469229538461537</v>
      </c>
      <c r="H28" s="757">
        <f>1110000+740000</f>
        <v>1850000</v>
      </c>
      <c r="I28" s="757">
        <f>+H28*1.27+52155298+34770198</f>
        <v>89274996</v>
      </c>
      <c r="J28" s="767"/>
    </row>
    <row r="29" spans="1:10" ht="16.5" customHeight="1">
      <c r="A29" s="764" t="s">
        <v>1964</v>
      </c>
      <c r="B29" s="2082" t="s">
        <v>1965</v>
      </c>
      <c r="C29" s="2083"/>
      <c r="D29" s="759">
        <v>10000000</v>
      </c>
      <c r="E29" s="760">
        <v>10000000</v>
      </c>
      <c r="F29" s="761">
        <v>0</v>
      </c>
      <c r="G29" s="762">
        <f t="shared" si="0"/>
        <v>0</v>
      </c>
      <c r="H29" s="757"/>
      <c r="I29" s="757"/>
    </row>
    <row r="30" spans="1:10" ht="16.5" customHeight="1">
      <c r="A30" s="764" t="s">
        <v>1966</v>
      </c>
      <c r="B30" s="2066" t="s">
        <v>1728</v>
      </c>
      <c r="C30" s="2081"/>
      <c r="D30" s="759">
        <v>45000000</v>
      </c>
      <c r="E30" s="760">
        <v>43000000</v>
      </c>
      <c r="F30" s="761"/>
      <c r="G30" s="762">
        <f t="shared" si="0"/>
        <v>0</v>
      </c>
      <c r="H30" s="757"/>
      <c r="I30" s="757"/>
    </row>
    <row r="31" spans="1:10" ht="16.5" customHeight="1">
      <c r="A31" s="764" t="s">
        <v>1967</v>
      </c>
      <c r="B31" s="2066" t="s">
        <v>1968</v>
      </c>
      <c r="C31" s="2081"/>
      <c r="D31" s="759">
        <v>400000000</v>
      </c>
      <c r="E31" s="760">
        <v>400000000</v>
      </c>
      <c r="F31" s="761">
        <f>+I31</f>
        <v>6083300</v>
      </c>
      <c r="G31" s="762">
        <f t="shared" si="0"/>
        <v>1.520825E-2</v>
      </c>
      <c r="H31" s="757">
        <f>958000+3832000</f>
        <v>4790000</v>
      </c>
      <c r="I31" s="757">
        <f>+H31*1.27</f>
        <v>6083300</v>
      </c>
    </row>
    <row r="32" spans="1:10" ht="16.5" customHeight="1">
      <c r="A32" s="764" t="s">
        <v>1969</v>
      </c>
      <c r="B32" s="2082" t="s">
        <v>1970</v>
      </c>
      <c r="C32" s="2083"/>
      <c r="D32" s="759">
        <v>100000000</v>
      </c>
      <c r="E32" s="760">
        <v>100000000</v>
      </c>
      <c r="F32" s="761">
        <f>+I32</f>
        <v>2537460</v>
      </c>
      <c r="G32" s="762">
        <f t="shared" si="0"/>
        <v>2.5374600000000001E-2</v>
      </c>
      <c r="H32" s="757">
        <f>1698000+300000</f>
        <v>1998000</v>
      </c>
      <c r="I32" s="757">
        <f>+H32*1.27</f>
        <v>2537460</v>
      </c>
    </row>
    <row r="33" spans="1:9" ht="30.75" customHeight="1">
      <c r="A33" s="764" t="s">
        <v>1971</v>
      </c>
      <c r="B33" s="2082" t="s">
        <v>1972</v>
      </c>
      <c r="C33" s="2083"/>
      <c r="D33" s="759">
        <v>30000000</v>
      </c>
      <c r="E33" s="760">
        <v>30000000</v>
      </c>
      <c r="F33" s="1441">
        <v>0</v>
      </c>
      <c r="G33" s="762">
        <f t="shared" si="0"/>
        <v>0</v>
      </c>
      <c r="H33" s="757"/>
      <c r="I33" s="757"/>
    </row>
    <row r="34" spans="1:9" ht="30.75" customHeight="1">
      <c r="A34" s="764" t="s">
        <v>1973</v>
      </c>
      <c r="B34" s="2082" t="s">
        <v>1729</v>
      </c>
      <c r="C34" s="2083"/>
      <c r="D34" s="759">
        <v>45000000</v>
      </c>
      <c r="E34" s="760">
        <v>45000000</v>
      </c>
      <c r="F34" s="1441">
        <v>0</v>
      </c>
      <c r="G34" s="762">
        <f t="shared" si="0"/>
        <v>0</v>
      </c>
      <c r="H34" s="757"/>
      <c r="I34" s="757"/>
    </row>
    <row r="35" spans="1:9" ht="15.75" customHeight="1">
      <c r="A35" s="764" t="s">
        <v>1974</v>
      </c>
      <c r="B35" s="2106" t="s">
        <v>1975</v>
      </c>
      <c r="C35" s="2107"/>
      <c r="D35" s="759">
        <v>300000000</v>
      </c>
      <c r="E35" s="760">
        <v>427000000</v>
      </c>
      <c r="F35" s="761">
        <f>+I35</f>
        <v>8069580</v>
      </c>
      <c r="G35" s="762">
        <f t="shared" si="0"/>
        <v>1.889831381733021E-2</v>
      </c>
      <c r="H35" s="757">
        <v>6354000</v>
      </c>
      <c r="I35" s="757">
        <f>+H35*1.27</f>
        <v>8069580</v>
      </c>
    </row>
    <row r="36" spans="1:9" ht="15.75" customHeight="1">
      <c r="A36" s="764" t="s">
        <v>1976</v>
      </c>
      <c r="B36" s="2106" t="s">
        <v>1977</v>
      </c>
      <c r="C36" s="2107"/>
      <c r="D36" s="759">
        <v>20000000</v>
      </c>
      <c r="E36" s="760">
        <f>24500000-2445000-616000</f>
        <v>21439000</v>
      </c>
      <c r="F36" s="761">
        <f>+I36</f>
        <v>604020.89</v>
      </c>
      <c r="G36" s="762">
        <f t="shared" si="0"/>
        <v>2.8173930220625962E-2</v>
      </c>
      <c r="H36" s="757">
        <f>130881+39370+80000+75370-190012+339998</f>
        <v>475607</v>
      </c>
      <c r="I36" s="757">
        <f>+H36*1.27</f>
        <v>604020.89</v>
      </c>
    </row>
    <row r="37" spans="1:9" ht="15.75" customHeight="1">
      <c r="A37" s="764" t="s">
        <v>1978</v>
      </c>
      <c r="B37" s="2104" t="s">
        <v>2075</v>
      </c>
      <c r="C37" s="2105"/>
      <c r="D37" s="759">
        <v>4000000</v>
      </c>
      <c r="E37" s="760">
        <v>10000000</v>
      </c>
      <c r="F37" s="761">
        <f>+I37</f>
        <v>1104900</v>
      </c>
      <c r="G37" s="762">
        <f t="shared" si="0"/>
        <v>0.11049</v>
      </c>
      <c r="H37" s="757">
        <v>870000</v>
      </c>
      <c r="I37" s="757">
        <f>+H37*1.27</f>
        <v>1104900</v>
      </c>
    </row>
    <row r="38" spans="1:9" ht="15.75" customHeight="1">
      <c r="A38" s="764" t="s">
        <v>1979</v>
      </c>
      <c r="B38" s="2082" t="s">
        <v>1980</v>
      </c>
      <c r="C38" s="2083"/>
      <c r="D38" s="759">
        <v>41000000</v>
      </c>
      <c r="E38" s="760">
        <v>41000000</v>
      </c>
      <c r="F38" s="761">
        <f>+I38</f>
        <v>40309086.259999998</v>
      </c>
      <c r="G38" s="762">
        <f t="shared" si="0"/>
        <v>0.98314844536585366</v>
      </c>
      <c r="H38" s="757">
        <v>31739438</v>
      </c>
      <c r="I38" s="757">
        <f>+H38*1.27</f>
        <v>40309086.259999998</v>
      </c>
    </row>
    <row r="39" spans="1:9" ht="29.25" customHeight="1">
      <c r="A39" s="764" t="s">
        <v>1981</v>
      </c>
      <c r="B39" s="2066" t="s">
        <v>1982</v>
      </c>
      <c r="C39" s="2081"/>
      <c r="D39" s="759">
        <v>7000000</v>
      </c>
      <c r="E39" s="760">
        <v>7000000</v>
      </c>
      <c r="F39" s="1441">
        <v>0</v>
      </c>
      <c r="G39" s="762">
        <f t="shared" si="0"/>
        <v>0</v>
      </c>
      <c r="H39" s="757"/>
      <c r="I39" s="757"/>
    </row>
    <row r="40" spans="1:9" ht="15.75" customHeight="1">
      <c r="A40" s="764" t="s">
        <v>1983</v>
      </c>
      <c r="B40" s="2066" t="s">
        <v>1984</v>
      </c>
      <c r="C40" s="2081"/>
      <c r="D40" s="759">
        <v>584000</v>
      </c>
      <c r="E40" s="760">
        <v>584000</v>
      </c>
      <c r="F40" s="761">
        <v>584000</v>
      </c>
      <c r="G40" s="762">
        <f t="shared" si="0"/>
        <v>1</v>
      </c>
      <c r="H40" s="757">
        <v>460000</v>
      </c>
      <c r="I40" s="757">
        <f>+H40*1.27</f>
        <v>584200</v>
      </c>
    </row>
    <row r="41" spans="1:9" ht="15.75" customHeight="1">
      <c r="A41" s="764" t="s">
        <v>1985</v>
      </c>
      <c r="B41" s="2066" t="s">
        <v>1986</v>
      </c>
      <c r="C41" s="2081"/>
      <c r="D41" s="759">
        <v>2032000</v>
      </c>
      <c r="E41" s="760">
        <v>2032000</v>
      </c>
      <c r="F41" s="1441">
        <v>0</v>
      </c>
      <c r="G41" s="762">
        <f t="shared" si="0"/>
        <v>0</v>
      </c>
      <c r="H41" s="757"/>
      <c r="I41" s="757"/>
    </row>
    <row r="42" spans="1:9" ht="15.75" customHeight="1">
      <c r="A42" s="764" t="s">
        <v>1987</v>
      </c>
      <c r="B42" s="2066" t="s">
        <v>1988</v>
      </c>
      <c r="C42" s="2081"/>
      <c r="D42" s="759">
        <v>2502000</v>
      </c>
      <c r="E42" s="760">
        <v>2502000</v>
      </c>
      <c r="F42" s="1441">
        <v>0</v>
      </c>
      <c r="G42" s="762">
        <f t="shared" si="0"/>
        <v>0</v>
      </c>
      <c r="H42" s="757"/>
      <c r="I42" s="757"/>
    </row>
    <row r="43" spans="1:9" ht="15.75" customHeight="1">
      <c r="A43" s="764" t="s">
        <v>1989</v>
      </c>
      <c r="B43" s="2066" t="s">
        <v>1990</v>
      </c>
      <c r="C43" s="2081"/>
      <c r="D43" s="759">
        <v>11430000</v>
      </c>
      <c r="E43" s="760">
        <v>11430000</v>
      </c>
      <c r="F43" s="761">
        <f>+I43</f>
        <v>11430000</v>
      </c>
      <c r="G43" s="762">
        <f t="shared" si="0"/>
        <v>1</v>
      </c>
      <c r="H43" s="757">
        <v>9000000</v>
      </c>
      <c r="I43" s="757">
        <f>+H43*1.27</f>
        <v>11430000</v>
      </c>
    </row>
    <row r="44" spans="1:9" ht="30.75" customHeight="1">
      <c r="A44" s="764" t="s">
        <v>1991</v>
      </c>
      <c r="B44" s="2066" t="s">
        <v>1992</v>
      </c>
      <c r="C44" s="2081"/>
      <c r="D44" s="759">
        <v>2540000</v>
      </c>
      <c r="E44" s="760">
        <v>2540000</v>
      </c>
      <c r="F44" s="761">
        <f>+I44-204000</f>
        <v>2539200</v>
      </c>
      <c r="G44" s="762">
        <f t="shared" si="0"/>
        <v>0.99968503937007869</v>
      </c>
      <c r="H44" s="757">
        <v>2160000</v>
      </c>
      <c r="I44" s="757">
        <f>+H44*1.27</f>
        <v>2743200</v>
      </c>
    </row>
    <row r="45" spans="1:9" ht="16.5" customHeight="1">
      <c r="A45" s="764" t="s">
        <v>1993</v>
      </c>
      <c r="B45" s="2066" t="s">
        <v>1994</v>
      </c>
      <c r="C45" s="2081"/>
      <c r="D45" s="759">
        <v>508000</v>
      </c>
      <c r="E45" s="760">
        <f>508000+1159000</f>
        <v>1667000</v>
      </c>
      <c r="F45" s="761">
        <f>1312571*1.27</f>
        <v>1666965.17</v>
      </c>
      <c r="G45" s="762">
        <f t="shared" si="0"/>
        <v>0.99997910617876418</v>
      </c>
      <c r="H45" s="757">
        <v>1312571</v>
      </c>
      <c r="I45" s="757">
        <f>+H45*1.27</f>
        <v>1666965.17</v>
      </c>
    </row>
    <row r="46" spans="1:9" ht="16.5" customHeight="1">
      <c r="A46" s="764" t="s">
        <v>1995</v>
      </c>
      <c r="B46" s="2066" t="s">
        <v>1996</v>
      </c>
      <c r="C46" s="2081"/>
      <c r="D46" s="759">
        <v>1524000</v>
      </c>
      <c r="E46" s="760">
        <v>1750000</v>
      </c>
      <c r="F46" s="761">
        <f>+I46</f>
        <v>1749990.1500000001</v>
      </c>
      <c r="G46" s="762">
        <f t="shared" si="0"/>
        <v>0.9999943714285715</v>
      </c>
      <c r="H46" s="757">
        <v>1377945</v>
      </c>
      <c r="I46" s="757">
        <f>+H46*1.27</f>
        <v>1749990.1500000001</v>
      </c>
    </row>
    <row r="47" spans="1:9" ht="16.5" customHeight="1">
      <c r="A47" s="764" t="s">
        <v>1997</v>
      </c>
      <c r="B47" s="2066" t="s">
        <v>1998</v>
      </c>
      <c r="C47" s="2081"/>
      <c r="D47" s="759">
        <v>27940000</v>
      </c>
      <c r="E47" s="760">
        <v>27714000</v>
      </c>
      <c r="F47" s="761"/>
      <c r="G47" s="762">
        <f t="shared" si="0"/>
        <v>0</v>
      </c>
      <c r="H47" s="757"/>
      <c r="I47" s="757"/>
    </row>
    <row r="48" spans="1:9" ht="16.5" customHeight="1">
      <c r="A48" s="764" t="s">
        <v>1999</v>
      </c>
      <c r="B48" s="2066" t="s">
        <v>2000</v>
      </c>
      <c r="C48" s="2081"/>
      <c r="D48" s="759">
        <v>8000000</v>
      </c>
      <c r="E48" s="760">
        <v>8000000</v>
      </c>
      <c r="F48" s="761">
        <v>8000000</v>
      </c>
      <c r="G48" s="762">
        <f t="shared" si="0"/>
        <v>1</v>
      </c>
      <c r="H48" s="757">
        <v>8000000</v>
      </c>
      <c r="I48" s="768">
        <f>+H48</f>
        <v>8000000</v>
      </c>
    </row>
    <row r="49" spans="1:9" ht="16.5" customHeight="1">
      <c r="A49" s="764" t="s">
        <v>2001</v>
      </c>
      <c r="B49" s="2066" t="s">
        <v>2002</v>
      </c>
      <c r="C49" s="2081"/>
      <c r="D49" s="759">
        <v>20000000</v>
      </c>
      <c r="E49" s="760">
        <f>20000000+22545000</f>
        <v>42545000</v>
      </c>
      <c r="F49" s="761">
        <f t="shared" ref="F49:F55" si="1">+I49</f>
        <v>42545000</v>
      </c>
      <c r="G49" s="762">
        <f t="shared" si="0"/>
        <v>1</v>
      </c>
      <c r="H49" s="757">
        <f>200000+33300000</f>
        <v>33500000</v>
      </c>
      <c r="I49" s="757">
        <f t="shared" ref="I49:I54" si="2">+H49*1.27</f>
        <v>42545000</v>
      </c>
    </row>
    <row r="50" spans="1:9" ht="29.25" customHeight="1">
      <c r="A50" s="764" t="s">
        <v>2003</v>
      </c>
      <c r="B50" s="2066" t="s">
        <v>2004</v>
      </c>
      <c r="C50" s="2081"/>
      <c r="D50" s="759">
        <v>5000000</v>
      </c>
      <c r="E50" s="1442">
        <v>0</v>
      </c>
      <c r="F50" s="1441">
        <f t="shared" si="1"/>
        <v>0</v>
      </c>
      <c r="G50" s="762">
        <v>0</v>
      </c>
      <c r="H50" s="757"/>
      <c r="I50" s="757"/>
    </row>
    <row r="51" spans="1:9" ht="16.5" customHeight="1">
      <c r="A51" s="764" t="s">
        <v>2005</v>
      </c>
      <c r="B51" s="2066" t="s">
        <v>2006</v>
      </c>
      <c r="C51" s="2081"/>
      <c r="D51" s="759">
        <v>50000000</v>
      </c>
      <c r="E51" s="760">
        <f>50000000-24060000</f>
        <v>25940000</v>
      </c>
      <c r="F51" s="761">
        <f>+I51+204000</f>
        <v>2299500</v>
      </c>
      <c r="G51" s="762">
        <f t="shared" si="0"/>
        <v>8.8646877409406327E-2</v>
      </c>
      <c r="H51" s="757">
        <v>1650000</v>
      </c>
      <c r="I51" s="757">
        <f t="shared" si="2"/>
        <v>2095500</v>
      </c>
    </row>
    <row r="52" spans="1:9" ht="30" customHeight="1">
      <c r="A52" s="764" t="s">
        <v>2007</v>
      </c>
      <c r="B52" s="2066" t="s">
        <v>2008</v>
      </c>
      <c r="C52" s="2081"/>
      <c r="D52" s="1443">
        <v>0</v>
      </c>
      <c r="E52" s="760">
        <v>7500000</v>
      </c>
      <c r="F52" s="761">
        <f t="shared" si="1"/>
        <v>2952750</v>
      </c>
      <c r="G52" s="762">
        <f t="shared" si="0"/>
        <v>0.39369999999999999</v>
      </c>
      <c r="H52" s="757">
        <v>2325000</v>
      </c>
      <c r="I52" s="757">
        <f t="shared" si="2"/>
        <v>2952750</v>
      </c>
    </row>
    <row r="53" spans="1:9" ht="16.5" customHeight="1">
      <c r="A53" s="764" t="s">
        <v>2009</v>
      </c>
      <c r="B53" s="2066" t="s">
        <v>2010</v>
      </c>
      <c r="C53" s="2081"/>
      <c r="D53" s="1443">
        <v>0</v>
      </c>
      <c r="E53" s="760">
        <v>10000000</v>
      </c>
      <c r="F53" s="761">
        <f t="shared" si="1"/>
        <v>9923033.2400000002</v>
      </c>
      <c r="G53" s="762">
        <f t="shared" si="0"/>
        <v>0.99230332399999999</v>
      </c>
      <c r="H53" s="757">
        <v>7813412</v>
      </c>
      <c r="I53" s="757">
        <f t="shared" si="2"/>
        <v>9923033.2400000002</v>
      </c>
    </row>
    <row r="54" spans="1:9" ht="16.5" customHeight="1">
      <c r="A54" s="764" t="s">
        <v>2011</v>
      </c>
      <c r="B54" s="2066" t="s">
        <v>2012</v>
      </c>
      <c r="C54" s="2081"/>
      <c r="D54" s="1443">
        <v>0</v>
      </c>
      <c r="E54" s="760">
        <v>6350000</v>
      </c>
      <c r="F54" s="761">
        <f t="shared" si="1"/>
        <v>4817498.62</v>
      </c>
      <c r="G54" s="762">
        <f t="shared" si="0"/>
        <v>0.75866120000000004</v>
      </c>
      <c r="H54" s="757">
        <f>3319606+393700+80000</f>
        <v>3793306</v>
      </c>
      <c r="I54" s="757">
        <f t="shared" si="2"/>
        <v>4817498.62</v>
      </c>
    </row>
    <row r="55" spans="1:9" ht="16.5" customHeight="1" thickBot="1">
      <c r="A55" s="764" t="s">
        <v>2013</v>
      </c>
      <c r="B55" s="2099" t="s">
        <v>2079</v>
      </c>
      <c r="C55" s="2100"/>
      <c r="D55" s="1444">
        <v>0</v>
      </c>
      <c r="E55" s="769">
        <v>616000</v>
      </c>
      <c r="F55" s="770">
        <f t="shared" si="1"/>
        <v>615950</v>
      </c>
      <c r="G55" s="762">
        <f t="shared" si="0"/>
        <v>0.99991883116883118</v>
      </c>
      <c r="H55" s="757">
        <v>485000</v>
      </c>
      <c r="I55" s="757">
        <f>+H55*1.27</f>
        <v>615950</v>
      </c>
    </row>
    <row r="56" spans="1:9" ht="19.5" customHeight="1" thickTop="1" thickBot="1">
      <c r="A56" s="764" t="s">
        <v>2014</v>
      </c>
      <c r="B56" s="2095" t="s">
        <v>2015</v>
      </c>
      <c r="C56" s="2096"/>
      <c r="D56" s="771"/>
      <c r="E56" s="772"/>
      <c r="F56" s="773"/>
      <c r="G56" s="762"/>
      <c r="H56" s="757"/>
      <c r="I56" s="757"/>
    </row>
    <row r="57" spans="1:9" ht="16.5" customHeight="1" thickTop="1">
      <c r="A57" s="764"/>
      <c r="B57" s="866" t="s">
        <v>49</v>
      </c>
      <c r="C57" s="1666" t="s">
        <v>2016</v>
      </c>
      <c r="D57" s="774">
        <v>1000000</v>
      </c>
      <c r="E57" s="775">
        <v>1000000</v>
      </c>
      <c r="F57" s="1445"/>
      <c r="G57" s="762">
        <f t="shared" si="0"/>
        <v>0</v>
      </c>
      <c r="H57" s="757"/>
      <c r="I57" s="757"/>
    </row>
    <row r="58" spans="1:9" ht="16.5" customHeight="1">
      <c r="A58" s="764"/>
      <c r="B58" s="867" t="s">
        <v>51</v>
      </c>
      <c r="C58" s="1666" t="s">
        <v>2017</v>
      </c>
      <c r="D58" s="759">
        <v>1500000</v>
      </c>
      <c r="E58" s="760">
        <v>1500000</v>
      </c>
      <c r="F58" s="1441"/>
      <c r="G58" s="762">
        <f t="shared" si="0"/>
        <v>0</v>
      </c>
      <c r="H58" s="757"/>
      <c r="I58" s="757"/>
    </row>
    <row r="59" spans="1:9" ht="16.5" customHeight="1" thickBot="1">
      <c r="A59" s="764"/>
      <c r="B59" s="867" t="s">
        <v>53</v>
      </c>
      <c r="C59" s="1666" t="s">
        <v>2018</v>
      </c>
      <c r="D59" s="1446">
        <v>0</v>
      </c>
      <c r="E59" s="778">
        <v>2000000</v>
      </c>
      <c r="F59" s="779">
        <f>+I59</f>
        <v>1399999.74</v>
      </c>
      <c r="G59" s="762">
        <f t="shared" si="0"/>
        <v>0.69999986999999997</v>
      </c>
      <c r="H59" s="757">
        <f>527559+574803</f>
        <v>1102362</v>
      </c>
      <c r="I59" s="757">
        <f>+H59*1.27</f>
        <v>1399999.74</v>
      </c>
    </row>
    <row r="60" spans="1:9" ht="16.5" customHeight="1" thickTop="1" thickBot="1">
      <c r="A60" s="764" t="s">
        <v>2019</v>
      </c>
      <c r="B60" s="2102" t="s">
        <v>2020</v>
      </c>
      <c r="C60" s="2103"/>
      <c r="D60" s="771"/>
      <c r="E60" s="772"/>
      <c r="F60" s="773"/>
      <c r="G60" s="762"/>
      <c r="H60" s="757"/>
      <c r="I60" s="757"/>
    </row>
    <row r="61" spans="1:9" ht="16.5" customHeight="1" thickTop="1">
      <c r="A61" s="764"/>
      <c r="B61" s="868" t="s">
        <v>49</v>
      </c>
      <c r="C61" s="869" t="s">
        <v>2021</v>
      </c>
      <c r="D61" s="774">
        <v>7000000</v>
      </c>
      <c r="E61" s="775">
        <v>7000000</v>
      </c>
      <c r="F61" s="1445">
        <v>0</v>
      </c>
      <c r="G61" s="762">
        <f t="shared" si="0"/>
        <v>0</v>
      </c>
      <c r="H61" s="757"/>
      <c r="I61" s="757"/>
    </row>
    <row r="62" spans="1:9" ht="31.5">
      <c r="A62" s="764"/>
      <c r="B62" s="868" t="s">
        <v>51</v>
      </c>
      <c r="C62" s="869" t="s">
        <v>2022</v>
      </c>
      <c r="D62" s="759">
        <v>3810000</v>
      </c>
      <c r="E62" s="760">
        <v>3810000</v>
      </c>
      <c r="F62" s="1445">
        <v>0</v>
      </c>
      <c r="G62" s="762">
        <f t="shared" si="0"/>
        <v>0</v>
      </c>
      <c r="H62" s="757"/>
      <c r="I62" s="757"/>
    </row>
    <row r="63" spans="1:9" ht="16.5" customHeight="1">
      <c r="A63" s="764"/>
      <c r="B63" s="868" t="s">
        <v>53</v>
      </c>
      <c r="C63" s="869" t="s">
        <v>2023</v>
      </c>
      <c r="D63" s="759">
        <v>1905000</v>
      </c>
      <c r="E63" s="760">
        <v>1905000</v>
      </c>
      <c r="F63" s="1445">
        <v>0</v>
      </c>
      <c r="G63" s="762">
        <f t="shared" si="0"/>
        <v>0</v>
      </c>
      <c r="H63" s="757"/>
      <c r="I63" s="757"/>
    </row>
    <row r="64" spans="1:9" ht="16.5" customHeight="1">
      <c r="A64" s="764"/>
      <c r="B64" s="868" t="s">
        <v>55</v>
      </c>
      <c r="C64" s="869" t="s">
        <v>2024</v>
      </c>
      <c r="D64" s="759">
        <v>1905000</v>
      </c>
      <c r="E64" s="760">
        <v>1905000</v>
      </c>
      <c r="F64" s="1445">
        <v>0</v>
      </c>
      <c r="G64" s="762">
        <f t="shared" si="0"/>
        <v>0</v>
      </c>
      <c r="H64" s="757"/>
      <c r="I64" s="757"/>
    </row>
    <row r="65" spans="1:9" ht="16.5" customHeight="1">
      <c r="A65" s="764"/>
      <c r="B65" s="868" t="s">
        <v>58</v>
      </c>
      <c r="C65" s="869" t="s">
        <v>2025</v>
      </c>
      <c r="D65" s="759">
        <v>953000</v>
      </c>
      <c r="E65" s="760">
        <v>953000</v>
      </c>
      <c r="F65" s="1445">
        <v>0</v>
      </c>
      <c r="G65" s="762">
        <f t="shared" si="0"/>
        <v>0</v>
      </c>
      <c r="H65" s="757"/>
      <c r="I65" s="757"/>
    </row>
    <row r="66" spans="1:9" ht="16.5" customHeight="1" thickBot="1">
      <c r="A66" s="764"/>
      <c r="B66" s="870" t="s">
        <v>60</v>
      </c>
      <c r="C66" s="871" t="s">
        <v>2026</v>
      </c>
      <c r="D66" s="777">
        <v>127000</v>
      </c>
      <c r="E66" s="778">
        <v>127000</v>
      </c>
      <c r="F66" s="1445">
        <v>0</v>
      </c>
      <c r="G66" s="762">
        <f t="shared" si="0"/>
        <v>0</v>
      </c>
      <c r="H66" s="757"/>
      <c r="I66" s="757"/>
    </row>
    <row r="67" spans="1:9" ht="16.5" customHeight="1" thickTop="1" thickBot="1">
      <c r="A67" s="764" t="s">
        <v>2027</v>
      </c>
      <c r="B67" s="2088" t="s">
        <v>1350</v>
      </c>
      <c r="C67" s="2089"/>
      <c r="D67" s="771"/>
      <c r="E67" s="772"/>
      <c r="F67" s="773"/>
      <c r="G67" s="762"/>
      <c r="H67" s="757"/>
      <c r="I67" s="757"/>
    </row>
    <row r="68" spans="1:9" ht="16.5" customHeight="1" thickTop="1">
      <c r="A68" s="764"/>
      <c r="B68" s="872" t="s">
        <v>49</v>
      </c>
      <c r="C68" s="873" t="s">
        <v>2028</v>
      </c>
      <c r="D68" s="774">
        <v>2500000</v>
      </c>
      <c r="E68" s="775">
        <v>2500000</v>
      </c>
      <c r="F68" s="776">
        <f>+I68</f>
        <v>2042426.7</v>
      </c>
      <c r="G68" s="762">
        <f t="shared" si="0"/>
        <v>0.81697067999999995</v>
      </c>
      <c r="H68" s="757">
        <v>1608210</v>
      </c>
      <c r="I68" s="757">
        <f>+H68*1.27</f>
        <v>2042426.7</v>
      </c>
    </row>
    <row r="69" spans="1:9" ht="16.5" customHeight="1">
      <c r="A69" s="764"/>
      <c r="B69" s="874" t="s">
        <v>51</v>
      </c>
      <c r="C69" s="1665" t="s">
        <v>2029</v>
      </c>
      <c r="D69" s="759">
        <v>10500000</v>
      </c>
      <c r="E69" s="760">
        <v>13706000</v>
      </c>
      <c r="F69" s="761">
        <f>+I69</f>
        <v>11999917.58</v>
      </c>
      <c r="G69" s="762">
        <f t="shared" si="0"/>
        <v>0.87552295199182839</v>
      </c>
      <c r="H69" s="757">
        <v>9448754</v>
      </c>
      <c r="I69" s="757">
        <f>+H69*1.27</f>
        <v>11999917.58</v>
      </c>
    </row>
    <row r="70" spans="1:9" ht="16.5" customHeight="1" thickBot="1">
      <c r="A70" s="764"/>
      <c r="B70" s="888" t="s">
        <v>53</v>
      </c>
      <c r="C70" s="889" t="s">
        <v>2030</v>
      </c>
      <c r="D70" s="777">
        <v>902000</v>
      </c>
      <c r="E70" s="778">
        <f>902000+213000</f>
        <v>1115000</v>
      </c>
      <c r="F70" s="779">
        <f>+I70</f>
        <v>1115000.31</v>
      </c>
      <c r="G70" s="762">
        <f t="shared" si="0"/>
        <v>1.0000002780269059</v>
      </c>
      <c r="H70" s="757">
        <v>877953</v>
      </c>
      <c r="I70" s="757">
        <f>+H70*1.27</f>
        <v>1115000.31</v>
      </c>
    </row>
    <row r="71" spans="1:9" ht="16.5" customHeight="1" thickTop="1" thickBot="1">
      <c r="A71" s="764" t="s">
        <v>2031</v>
      </c>
      <c r="B71" s="2088" t="s">
        <v>118</v>
      </c>
      <c r="C71" s="2090"/>
      <c r="D71" s="771"/>
      <c r="E71" s="772"/>
      <c r="F71" s="773"/>
      <c r="G71" s="762"/>
      <c r="H71" s="757"/>
      <c r="I71" s="757"/>
    </row>
    <row r="72" spans="1:9" ht="16.5" customHeight="1" thickTop="1">
      <c r="A72" s="875"/>
      <c r="B72" s="876" t="s">
        <v>49</v>
      </c>
      <c r="C72" s="877" t="s">
        <v>2032</v>
      </c>
      <c r="D72" s="774">
        <v>4000000</v>
      </c>
      <c r="E72" s="775">
        <v>8400000</v>
      </c>
      <c r="F72" s="776">
        <v>8398929</v>
      </c>
      <c r="G72" s="762">
        <f t="shared" si="0"/>
        <v>0.99987250000000005</v>
      </c>
      <c r="H72" s="757">
        <f>5730550+882780</f>
        <v>6613330</v>
      </c>
      <c r="I72" s="757">
        <f>+H72*1.27</f>
        <v>8398929.0999999996</v>
      </c>
    </row>
    <row r="73" spans="1:9" ht="16.5" customHeight="1">
      <c r="A73" s="875"/>
      <c r="B73" s="764" t="s">
        <v>51</v>
      </c>
      <c r="C73" s="878" t="s">
        <v>2033</v>
      </c>
      <c r="D73" s="759">
        <v>7000000</v>
      </c>
      <c r="E73" s="760">
        <v>7000000</v>
      </c>
      <c r="F73" s="1441">
        <v>0</v>
      </c>
      <c r="G73" s="762">
        <f t="shared" ref="G73:G80" si="3">(F73/E73)</f>
        <v>0</v>
      </c>
      <c r="H73" s="757">
        <v>1905701</v>
      </c>
      <c r="I73" s="757">
        <f>+H73*1.27</f>
        <v>2420240.27</v>
      </c>
    </row>
    <row r="74" spans="1:9" ht="16.5" customHeight="1" thickBot="1">
      <c r="A74" s="2091" t="s">
        <v>119</v>
      </c>
      <c r="B74" s="2092"/>
      <c r="C74" s="2092"/>
      <c r="D74" s="777"/>
      <c r="E74" s="778"/>
      <c r="F74" s="779"/>
      <c r="G74" s="762"/>
      <c r="H74" s="780"/>
      <c r="I74" s="780"/>
    </row>
    <row r="75" spans="1:9" ht="16.5" customHeight="1" thickTop="1" thickBot="1">
      <c r="A75" s="875"/>
      <c r="B75" s="2088" t="s">
        <v>120</v>
      </c>
      <c r="C75" s="2089"/>
      <c r="D75" s="771"/>
      <c r="E75" s="772"/>
      <c r="F75" s="773"/>
      <c r="G75" s="762"/>
      <c r="H75" s="781"/>
      <c r="I75" s="781"/>
    </row>
    <row r="76" spans="1:9" ht="16.5" customHeight="1" thickTop="1">
      <c r="A76" s="764" t="s">
        <v>2034</v>
      </c>
      <c r="B76" s="2093" t="s">
        <v>121</v>
      </c>
      <c r="C76" s="2094"/>
      <c r="D76" s="774">
        <v>4000000</v>
      </c>
      <c r="E76" s="775">
        <v>4000000</v>
      </c>
      <c r="F76" s="776">
        <f>+I76</f>
        <v>432308</v>
      </c>
      <c r="G76" s="762">
        <f t="shared" si="3"/>
        <v>0.10807700000000001</v>
      </c>
      <c r="H76" s="782">
        <f>330900+9500</f>
        <v>340400</v>
      </c>
      <c r="I76" s="782">
        <f>+H76*1.27</f>
        <v>432308</v>
      </c>
    </row>
    <row r="77" spans="1:9" ht="16.5" customHeight="1">
      <c r="A77" s="764" t="s">
        <v>2035</v>
      </c>
      <c r="B77" s="2097" t="s">
        <v>1498</v>
      </c>
      <c r="C77" s="2098"/>
      <c r="D77" s="759">
        <v>2000000</v>
      </c>
      <c r="E77" s="760">
        <v>2000000</v>
      </c>
      <c r="F77" s="761">
        <f>+I77</f>
        <v>1128007.6499999999</v>
      </c>
      <c r="G77" s="762">
        <f t="shared" si="3"/>
        <v>0.5640038249999999</v>
      </c>
      <c r="H77" s="757">
        <v>888195</v>
      </c>
      <c r="I77" s="757">
        <f>+H77*1.27</f>
        <v>1128007.6499999999</v>
      </c>
    </row>
    <row r="78" spans="1:9" ht="16.5" customHeight="1">
      <c r="A78" s="764" t="s">
        <v>2036</v>
      </c>
      <c r="B78" s="2097" t="s">
        <v>2081</v>
      </c>
      <c r="C78" s="2101"/>
      <c r="D78" s="759"/>
      <c r="E78" s="760">
        <v>2445000</v>
      </c>
      <c r="F78" s="761">
        <f>+I78</f>
        <v>2444835.29</v>
      </c>
      <c r="G78" s="762">
        <f t="shared" si="3"/>
        <v>0.9999326339468303</v>
      </c>
      <c r="H78" s="757">
        <v>1910327</v>
      </c>
      <c r="I78" s="757">
        <f>+H78*1.27+18720</f>
        <v>2444835.29</v>
      </c>
    </row>
    <row r="79" spans="1:9" ht="16.5" customHeight="1">
      <c r="A79" s="764" t="s">
        <v>2078</v>
      </c>
      <c r="B79" s="2086" t="s">
        <v>2037</v>
      </c>
      <c r="C79" s="2087"/>
      <c r="D79" s="759">
        <v>1000000</v>
      </c>
      <c r="E79" s="760">
        <f>1000000+143000</f>
        <v>1143000</v>
      </c>
      <c r="F79" s="761">
        <f>+I79</f>
        <v>1142933.96</v>
      </c>
      <c r="G79" s="762">
        <f t="shared" si="3"/>
        <v>0.99994222222222218</v>
      </c>
      <c r="H79" s="757">
        <f>349800+19677+3854+44331+32677+56146+250394+143069</f>
        <v>899948</v>
      </c>
      <c r="I79" s="757">
        <f>+H79*1.27</f>
        <v>1142933.96</v>
      </c>
    </row>
    <row r="80" spans="1:9">
      <c r="A80" s="764" t="s">
        <v>2080</v>
      </c>
      <c r="B80" s="2066" t="s">
        <v>2076</v>
      </c>
      <c r="C80" s="2081"/>
      <c r="D80" s="759">
        <v>127000</v>
      </c>
      <c r="E80" s="760">
        <v>127000</v>
      </c>
      <c r="F80" s="761">
        <f>+I80</f>
        <v>4894.58</v>
      </c>
      <c r="G80" s="762">
        <f t="shared" si="3"/>
        <v>3.8539999999999998E-2</v>
      </c>
      <c r="H80" s="757">
        <v>3854</v>
      </c>
      <c r="I80" s="757">
        <f>+H80*1.27</f>
        <v>4894.58</v>
      </c>
    </row>
    <row r="81" spans="1:11" s="1448" customFormat="1" ht="21" customHeight="1">
      <c r="A81" s="766"/>
      <c r="B81" s="882"/>
      <c r="C81" s="1809" t="s">
        <v>122</v>
      </c>
      <c r="D81" s="1810">
        <f>SUM(D9:D80)</f>
        <v>2664423000</v>
      </c>
      <c r="E81" s="1811">
        <f>SUM(E9:E80)</f>
        <v>2789536000</v>
      </c>
      <c r="F81" s="1812">
        <f>SUM(F9:F80)</f>
        <v>571795908.22000003</v>
      </c>
      <c r="G81" s="1813">
        <f>F81/E81</f>
        <v>0.2049788596454751</v>
      </c>
      <c r="H81" s="1449" t="s">
        <v>2039</v>
      </c>
      <c r="I81" s="1447"/>
    </row>
    <row r="82" spans="1:11" ht="21" customHeight="1">
      <c r="B82" s="783"/>
      <c r="C82" s="783"/>
      <c r="D82" s="784"/>
      <c r="E82" s="785"/>
      <c r="F82" s="786"/>
      <c r="G82" s="787"/>
    </row>
    <row r="83" spans="1:11" s="766" customFormat="1" ht="27.75" customHeight="1">
      <c r="A83" s="2035" t="s">
        <v>2068</v>
      </c>
      <c r="B83" s="2036"/>
      <c r="C83" s="2036"/>
      <c r="D83" s="2036"/>
      <c r="E83" s="2036"/>
      <c r="F83" s="2036"/>
      <c r="G83" s="2037"/>
      <c r="H83" s="2031" t="s">
        <v>2073</v>
      </c>
      <c r="I83" s="2031"/>
    </row>
    <row r="84" spans="1:11" ht="31.5">
      <c r="A84" s="1663"/>
      <c r="B84" s="2043" t="s">
        <v>68</v>
      </c>
      <c r="C84" s="2043"/>
      <c r="D84" s="741" t="s">
        <v>115</v>
      </c>
      <c r="E84" s="742" t="s">
        <v>116</v>
      </c>
      <c r="F84" s="743" t="s">
        <v>48</v>
      </c>
      <c r="G84" s="744" t="s">
        <v>1</v>
      </c>
      <c r="H84" s="757" t="s">
        <v>2071</v>
      </c>
      <c r="I84" s="757" t="s">
        <v>2072</v>
      </c>
    </row>
    <row r="85" spans="1:11" ht="20.25" customHeight="1">
      <c r="A85" s="880" t="s">
        <v>49</v>
      </c>
      <c r="B85" s="2076" t="s">
        <v>2040</v>
      </c>
      <c r="C85" s="2076"/>
      <c r="D85" s="759"/>
      <c r="E85" s="760">
        <v>2172000</v>
      </c>
      <c r="F85" s="761">
        <f>+I85</f>
        <v>2171700</v>
      </c>
      <c r="G85" s="762">
        <f t="shared" ref="G85" si="4">F85/E85</f>
        <v>0.99986187845303864</v>
      </c>
      <c r="H85" s="757">
        <v>1710000</v>
      </c>
      <c r="I85" s="757">
        <f>+H85*1.27</f>
        <v>2171700</v>
      </c>
    </row>
    <row r="86" spans="1:11" ht="20.25" customHeight="1">
      <c r="A86" s="2043" t="s">
        <v>119</v>
      </c>
      <c r="B86" s="2043"/>
      <c r="C86" s="2043"/>
      <c r="D86" s="759"/>
      <c r="E86" s="760"/>
      <c r="F86" s="761"/>
      <c r="G86" s="762"/>
      <c r="H86" s="757"/>
      <c r="I86" s="757"/>
    </row>
    <row r="87" spans="1:11" ht="20.25" customHeight="1">
      <c r="A87" s="880" t="s">
        <v>49</v>
      </c>
      <c r="B87" s="2076" t="s">
        <v>2041</v>
      </c>
      <c r="C87" s="2076"/>
      <c r="D87" s="759">
        <v>2000000</v>
      </c>
      <c r="E87" s="760">
        <v>1992000</v>
      </c>
      <c r="F87" s="761">
        <f>+I87</f>
        <v>114501.93000000001</v>
      </c>
      <c r="G87" s="762">
        <f>F87/E87</f>
        <v>5.7480888554216875E-2</v>
      </c>
      <c r="H87" s="757">
        <f>57160+32999</f>
        <v>90159</v>
      </c>
      <c r="I87" s="757">
        <f>+H87*1.27</f>
        <v>114501.93000000001</v>
      </c>
    </row>
    <row r="88" spans="1:11" ht="20.25" customHeight="1">
      <c r="B88" s="788"/>
      <c r="C88" s="852" t="s">
        <v>123</v>
      </c>
      <c r="D88" s="1814">
        <f>SUM(D85:D87)</f>
        <v>2000000</v>
      </c>
      <c r="E88" s="1815">
        <f>SUM(E85:E87)</f>
        <v>4164000</v>
      </c>
      <c r="F88" s="1816">
        <f>SUM(F85:F87)</f>
        <v>2286201.9300000002</v>
      </c>
      <c r="G88" s="1817">
        <f t="shared" ref="G88" si="5">F88/E88</f>
        <v>0.54903984870317002</v>
      </c>
      <c r="H88" s="879">
        <f>SUM(H85:H87)</f>
        <v>1800159</v>
      </c>
      <c r="I88" s="879">
        <f>SUM(I85:I87)</f>
        <v>2286201.9300000002</v>
      </c>
    </row>
    <row r="89" spans="1:11" ht="20.25" customHeight="1">
      <c r="B89" s="788"/>
      <c r="C89" s="790"/>
      <c r="D89" s="791"/>
      <c r="E89" s="792"/>
      <c r="F89" s="793"/>
      <c r="G89" s="794"/>
    </row>
    <row r="90" spans="1:11" ht="44.25" customHeight="1">
      <c r="A90" s="2040" t="s">
        <v>2051</v>
      </c>
      <c r="B90" s="2041"/>
      <c r="C90" s="2041"/>
      <c r="D90" s="2041"/>
      <c r="E90" s="2041"/>
      <c r="F90" s="2041"/>
      <c r="G90" s="2042"/>
      <c r="H90" s="2032" t="s">
        <v>2073</v>
      </c>
      <c r="I90" s="2032"/>
    </row>
    <row r="91" spans="1:11" ht="44.25" customHeight="1">
      <c r="A91" s="1663"/>
      <c r="B91" s="2043" t="s">
        <v>68</v>
      </c>
      <c r="C91" s="2043"/>
      <c r="D91" s="741" t="s">
        <v>115</v>
      </c>
      <c r="E91" s="742" t="s">
        <v>116</v>
      </c>
      <c r="F91" s="743" t="s">
        <v>48</v>
      </c>
      <c r="G91" s="744" t="s">
        <v>1</v>
      </c>
      <c r="H91" s="757" t="s">
        <v>2071</v>
      </c>
      <c r="I91" s="757" t="s">
        <v>2072</v>
      </c>
    </row>
    <row r="92" spans="1:11" ht="20.100000000000001" customHeight="1">
      <c r="A92" s="795"/>
      <c r="B92" s="2077" t="s">
        <v>2043</v>
      </c>
      <c r="C92" s="2077"/>
      <c r="D92" s="796"/>
      <c r="E92" s="797"/>
      <c r="F92" s="798"/>
      <c r="G92" s="762"/>
      <c r="H92" s="757"/>
      <c r="I92" s="757"/>
    </row>
    <row r="93" spans="1:11" ht="20.100000000000001" customHeight="1">
      <c r="A93" s="881" t="s">
        <v>49</v>
      </c>
      <c r="B93" s="2047" t="s">
        <v>2042</v>
      </c>
      <c r="C93" s="2047"/>
      <c r="D93" s="759">
        <v>621000</v>
      </c>
      <c r="E93" s="760">
        <v>621000</v>
      </c>
      <c r="F93" s="761">
        <f>+I93</f>
        <v>620999.52</v>
      </c>
      <c r="G93" s="762">
        <f t="shared" ref="G93" si="6">F93/E93</f>
        <v>0.99999922705314015</v>
      </c>
      <c r="H93" s="757">
        <f>522200-33224</f>
        <v>488976</v>
      </c>
      <c r="I93" s="757">
        <f>+H93*1.27</f>
        <v>620999.52</v>
      </c>
    </row>
    <row r="94" spans="1:11" ht="20.100000000000001" customHeight="1">
      <c r="A94" s="2049" t="s">
        <v>119</v>
      </c>
      <c r="B94" s="2049"/>
      <c r="C94" s="2049"/>
      <c r="D94" s="759"/>
      <c r="E94" s="760"/>
      <c r="F94" s="761"/>
      <c r="G94" s="762"/>
      <c r="H94" s="757"/>
      <c r="I94" s="757"/>
    </row>
    <row r="95" spans="1:11" ht="19.350000000000001" customHeight="1">
      <c r="A95" s="881" t="s">
        <v>49</v>
      </c>
      <c r="B95" s="2034" t="s">
        <v>2037</v>
      </c>
      <c r="C95" s="2034"/>
      <c r="D95" s="759">
        <v>1169000</v>
      </c>
      <c r="E95" s="760">
        <v>1169000</v>
      </c>
      <c r="F95" s="761">
        <f>+I95</f>
        <v>447263.52</v>
      </c>
      <c r="G95" s="762">
        <f>F95/E95</f>
        <v>0.38260352437981182</v>
      </c>
      <c r="H95" s="757">
        <f>16700+39716+111803+33224+48000+49591+53142</f>
        <v>352176</v>
      </c>
      <c r="I95" s="757">
        <f>+H95*1.27</f>
        <v>447263.52</v>
      </c>
      <c r="J95" s="763"/>
      <c r="K95" s="763"/>
    </row>
    <row r="96" spans="1:11" ht="20.100000000000001" customHeight="1">
      <c r="A96" s="766"/>
      <c r="B96" s="882"/>
      <c r="C96" s="1809" t="s">
        <v>124</v>
      </c>
      <c r="D96" s="1818">
        <f>SUM(D93:D95)</f>
        <v>1790000</v>
      </c>
      <c r="E96" s="1819">
        <f>SUM(E93:E95)</f>
        <v>1790000</v>
      </c>
      <c r="F96" s="1820">
        <f>SUM(F93:F95)</f>
        <v>1068263.04</v>
      </c>
      <c r="G96" s="1821">
        <f>F96/E96</f>
        <v>0.59679499441340789</v>
      </c>
      <c r="H96" s="879">
        <f>SUM(+H93)+H95</f>
        <v>841152</v>
      </c>
      <c r="I96" s="879">
        <f>SUM(+I93)+I95</f>
        <v>1068263.04</v>
      </c>
    </row>
    <row r="97" spans="1:9" ht="20.100000000000001" customHeight="1">
      <c r="B97" s="788"/>
      <c r="C97" s="799"/>
      <c r="D97" s="800"/>
      <c r="E97" s="801"/>
      <c r="F97" s="802"/>
      <c r="G97" s="803"/>
    </row>
    <row r="98" spans="1:9" ht="39.75" customHeight="1">
      <c r="A98" s="2044" t="s">
        <v>2052</v>
      </c>
      <c r="B98" s="2045"/>
      <c r="C98" s="2045"/>
      <c r="D98" s="2045"/>
      <c r="E98" s="2045"/>
      <c r="F98" s="2045"/>
      <c r="G98" s="2046"/>
      <c r="H98" s="2032" t="s">
        <v>2073</v>
      </c>
      <c r="I98" s="2032"/>
    </row>
    <row r="99" spans="1:9" ht="39.75" customHeight="1">
      <c r="A99" s="1663"/>
      <c r="B99" s="2043" t="s">
        <v>68</v>
      </c>
      <c r="C99" s="2043"/>
      <c r="D99" s="741" t="s">
        <v>115</v>
      </c>
      <c r="E99" s="742" t="s">
        <v>116</v>
      </c>
      <c r="F99" s="743" t="s">
        <v>48</v>
      </c>
      <c r="G99" s="744" t="s">
        <v>1</v>
      </c>
      <c r="H99" s="757" t="s">
        <v>2071</v>
      </c>
      <c r="I99" s="757" t="s">
        <v>2072</v>
      </c>
    </row>
    <row r="100" spans="1:9" ht="20.100000000000001" customHeight="1">
      <c r="A100" s="804" t="s">
        <v>49</v>
      </c>
      <c r="B100" s="2073" t="s">
        <v>2044</v>
      </c>
      <c r="C100" s="2073"/>
      <c r="D100" s="759">
        <v>318000</v>
      </c>
      <c r="E100" s="760">
        <v>318000</v>
      </c>
      <c r="F100" s="761"/>
      <c r="G100" s="762">
        <f>F100/E100</f>
        <v>0</v>
      </c>
      <c r="H100" s="757"/>
      <c r="I100" s="757"/>
    </row>
    <row r="101" spans="1:9" ht="20.100000000000001" customHeight="1">
      <c r="A101" s="880" t="s">
        <v>51</v>
      </c>
      <c r="B101" s="2047" t="s">
        <v>2045</v>
      </c>
      <c r="C101" s="2047"/>
      <c r="D101" s="759">
        <v>444000</v>
      </c>
      <c r="E101" s="760">
        <v>444000</v>
      </c>
      <c r="F101" s="761">
        <f>+I101</f>
        <v>444000.17</v>
      </c>
      <c r="G101" s="762">
        <f t="shared" ref="G101:G103" si="7">F101/E101</f>
        <v>1.000000382882883</v>
      </c>
      <c r="H101" s="757">
        <v>370671</v>
      </c>
      <c r="I101" s="757">
        <f>+H101*1.27-26752</f>
        <v>444000.17</v>
      </c>
    </row>
    <row r="102" spans="1:9" ht="20.100000000000001" customHeight="1">
      <c r="A102" s="880" t="s">
        <v>53</v>
      </c>
      <c r="B102" s="2047" t="s">
        <v>2046</v>
      </c>
      <c r="C102" s="2047"/>
      <c r="D102" s="759">
        <v>351000</v>
      </c>
      <c r="E102" s="760">
        <v>351000</v>
      </c>
      <c r="F102" s="761">
        <f>+I102</f>
        <v>350520</v>
      </c>
      <c r="G102" s="762">
        <f t="shared" si="7"/>
        <v>0.99863247863247862</v>
      </c>
      <c r="H102" s="757">
        <v>276000</v>
      </c>
      <c r="I102" s="757">
        <f>+H102*1.27</f>
        <v>350520</v>
      </c>
    </row>
    <row r="103" spans="1:9" ht="20.100000000000001" customHeight="1">
      <c r="A103" s="880" t="s">
        <v>55</v>
      </c>
      <c r="B103" s="2048" t="s">
        <v>2047</v>
      </c>
      <c r="C103" s="2048"/>
      <c r="D103" s="759"/>
      <c r="E103" s="760">
        <v>671000</v>
      </c>
      <c r="F103" s="761">
        <f>+I103</f>
        <v>670560</v>
      </c>
      <c r="G103" s="762">
        <f t="shared" si="7"/>
        <v>0.999344262295082</v>
      </c>
      <c r="H103" s="757">
        <v>528000</v>
      </c>
      <c r="I103" s="757">
        <f>+H103*1.27</f>
        <v>670560</v>
      </c>
    </row>
    <row r="104" spans="1:9" ht="20.100000000000001" customHeight="1">
      <c r="A104" s="880" t="s">
        <v>58</v>
      </c>
      <c r="B104" s="2074" t="s">
        <v>2077</v>
      </c>
      <c r="C104" s="2075"/>
      <c r="D104" s="747"/>
      <c r="E104" s="760"/>
      <c r="F104" s="761">
        <f>+I104</f>
        <v>989256.34</v>
      </c>
      <c r="G104" s="762"/>
      <c r="H104" s="757">
        <v>778942</v>
      </c>
      <c r="I104" s="757">
        <f>+H104*1.27</f>
        <v>989256.34</v>
      </c>
    </row>
    <row r="105" spans="1:9" ht="20.100000000000001" customHeight="1">
      <c r="A105" s="2049" t="s">
        <v>119</v>
      </c>
      <c r="B105" s="2049"/>
      <c r="C105" s="2049"/>
      <c r="D105" s="759"/>
      <c r="E105" s="760"/>
      <c r="F105" s="761"/>
      <c r="G105" s="762"/>
      <c r="H105" s="757"/>
      <c r="I105" s="757"/>
    </row>
    <row r="106" spans="1:9" ht="20.100000000000001" customHeight="1">
      <c r="A106" s="883" t="s">
        <v>49</v>
      </c>
      <c r="B106" s="2050" t="s">
        <v>2048</v>
      </c>
      <c r="C106" s="2050"/>
      <c r="D106" s="759">
        <v>2326000</v>
      </c>
      <c r="E106" s="760">
        <v>2771000</v>
      </c>
      <c r="F106" s="761">
        <f>+I106</f>
        <v>2771000</v>
      </c>
      <c r="G106" s="762">
        <f t="shared" ref="G106:G108" si="8">F106/E106</f>
        <v>1</v>
      </c>
      <c r="H106" s="757"/>
      <c r="I106" s="757">
        <f>2788950-17950</f>
        <v>2771000</v>
      </c>
    </row>
    <row r="107" spans="1:9" ht="20.100000000000001" customHeight="1">
      <c r="A107" s="883" t="s">
        <v>51</v>
      </c>
      <c r="B107" s="2034" t="s">
        <v>2049</v>
      </c>
      <c r="C107" s="2034"/>
      <c r="D107" s="759">
        <v>508000</v>
      </c>
      <c r="E107" s="760">
        <v>768000</v>
      </c>
      <c r="F107" s="761">
        <f>+I107</f>
        <v>754541.29</v>
      </c>
      <c r="G107" s="762"/>
      <c r="H107" s="757">
        <f>203896+390231</f>
        <v>594127</v>
      </c>
      <c r="I107" s="757">
        <f>+H107*1.27</f>
        <v>754541.29</v>
      </c>
    </row>
    <row r="108" spans="1:9" ht="20.100000000000001" customHeight="1">
      <c r="A108" s="883" t="s">
        <v>53</v>
      </c>
      <c r="B108" s="2034" t="s">
        <v>2050</v>
      </c>
      <c r="C108" s="2034"/>
      <c r="D108" s="759">
        <v>1192000</v>
      </c>
      <c r="E108" s="760">
        <v>2622000</v>
      </c>
      <c r="F108" s="761">
        <f>+I108</f>
        <v>947933.53</v>
      </c>
      <c r="G108" s="762">
        <f t="shared" si="8"/>
        <v>0.36153071319603358</v>
      </c>
      <c r="H108" s="757">
        <f>418064+11575</f>
        <v>429639</v>
      </c>
      <c r="I108" s="757">
        <f>+H108*1.27+357590+26752+17950</f>
        <v>947933.53</v>
      </c>
    </row>
    <row r="109" spans="1:9" ht="20.100000000000001" customHeight="1">
      <c r="B109" s="117"/>
      <c r="C109" s="852" t="s">
        <v>125</v>
      </c>
      <c r="D109" s="1810">
        <f>SUM(D100:D108)</f>
        <v>5139000</v>
      </c>
      <c r="E109" s="1811">
        <f>SUM(E100:E108)</f>
        <v>7945000</v>
      </c>
      <c r="F109" s="1812">
        <f>SUM(F100:F108)</f>
        <v>6927811.3300000001</v>
      </c>
      <c r="G109" s="1813">
        <f>F109/E109</f>
        <v>0.87197121837633729</v>
      </c>
    </row>
    <row r="110" spans="1:9" ht="20.100000000000001" customHeight="1">
      <c r="B110" s="117"/>
      <c r="C110" s="790"/>
      <c r="D110" s="791"/>
      <c r="E110" s="792"/>
      <c r="F110" s="809"/>
      <c r="G110" s="794"/>
    </row>
    <row r="111" spans="1:9" ht="35.25" customHeight="1">
      <c r="A111" s="2051" t="s">
        <v>2053</v>
      </c>
      <c r="B111" s="2052"/>
      <c r="C111" s="2052"/>
      <c r="D111" s="2052"/>
      <c r="E111" s="2052"/>
      <c r="F111" s="2052"/>
      <c r="G111" s="2053"/>
      <c r="H111" s="2032" t="s">
        <v>2073</v>
      </c>
      <c r="I111" s="2032"/>
    </row>
    <row r="112" spans="1:9" ht="37.5" customHeight="1">
      <c r="A112" s="756"/>
      <c r="B112" s="2054" t="s">
        <v>68</v>
      </c>
      <c r="C112" s="2054"/>
      <c r="D112" s="741" t="s">
        <v>115</v>
      </c>
      <c r="E112" s="742" t="s">
        <v>116</v>
      </c>
      <c r="F112" s="743" t="s">
        <v>48</v>
      </c>
      <c r="G112" s="744" t="s">
        <v>1</v>
      </c>
      <c r="H112" s="757" t="s">
        <v>2071</v>
      </c>
      <c r="I112" s="757" t="s">
        <v>2072</v>
      </c>
    </row>
    <row r="113" spans="1:9" ht="20.100000000000001" customHeight="1">
      <c r="A113" s="880" t="s">
        <v>49</v>
      </c>
      <c r="B113" s="2048" t="s">
        <v>2054</v>
      </c>
      <c r="C113" s="2048"/>
      <c r="D113" s="759">
        <v>889000</v>
      </c>
      <c r="E113" s="760">
        <v>889000</v>
      </c>
      <c r="F113" s="761">
        <f>+I113</f>
        <v>599979.75</v>
      </c>
      <c r="G113" s="762">
        <f>+F113/E113</f>
        <v>0.67489285714285718</v>
      </c>
      <c r="H113" s="757">
        <v>472425</v>
      </c>
      <c r="I113" s="757">
        <f>+H113*1.27</f>
        <v>599979.75</v>
      </c>
    </row>
    <row r="114" spans="1:9" ht="20.100000000000001" customHeight="1">
      <c r="A114" s="880" t="s">
        <v>51</v>
      </c>
      <c r="B114" s="2048" t="s">
        <v>2055</v>
      </c>
      <c r="C114" s="2048"/>
      <c r="D114" s="759">
        <v>902000</v>
      </c>
      <c r="E114" s="760">
        <v>902000</v>
      </c>
      <c r="F114" s="761">
        <f>+I114</f>
        <v>555000.16</v>
      </c>
      <c r="G114" s="762">
        <f t="shared" ref="G114:G117" si="9">+F114/E114</f>
        <v>0.61529951219512202</v>
      </c>
      <c r="H114" s="757">
        <v>437008</v>
      </c>
      <c r="I114" s="757">
        <f>+H114*1.27</f>
        <v>555000.16</v>
      </c>
    </row>
    <row r="115" spans="1:9" ht="20.100000000000001" customHeight="1">
      <c r="A115" s="2049" t="s">
        <v>119</v>
      </c>
      <c r="B115" s="2049"/>
      <c r="C115" s="2049"/>
      <c r="D115" s="759"/>
      <c r="E115" s="760"/>
      <c r="F115" s="761"/>
      <c r="G115" s="762"/>
      <c r="H115" s="757"/>
      <c r="I115" s="757"/>
    </row>
    <row r="116" spans="1:9" ht="19.350000000000001" customHeight="1">
      <c r="A116" s="880" t="s">
        <v>49</v>
      </c>
      <c r="B116" s="2034" t="s">
        <v>2056</v>
      </c>
      <c r="C116" s="2034"/>
      <c r="D116" s="759">
        <v>20000</v>
      </c>
      <c r="E116" s="760">
        <v>20000</v>
      </c>
      <c r="F116" s="761">
        <f>+I116</f>
        <v>10500.36</v>
      </c>
      <c r="G116" s="762">
        <f t="shared" si="9"/>
        <v>0.52501799999999998</v>
      </c>
      <c r="H116" s="757">
        <v>8268</v>
      </c>
      <c r="I116" s="757">
        <f>+H116*1.27</f>
        <v>10500.36</v>
      </c>
    </row>
    <row r="117" spans="1:9" ht="19.350000000000001" customHeight="1">
      <c r="A117" s="880" t="s">
        <v>51</v>
      </c>
      <c r="B117" s="2034" t="s">
        <v>2057</v>
      </c>
      <c r="C117" s="2034"/>
      <c r="D117" s="759">
        <v>3340000</v>
      </c>
      <c r="E117" s="760">
        <v>3466000</v>
      </c>
      <c r="F117" s="761">
        <f>+I117</f>
        <v>1047121.35</v>
      </c>
      <c r="G117" s="762">
        <f t="shared" si="9"/>
        <v>0.30211233410271204</v>
      </c>
      <c r="H117" s="757">
        <v>824505</v>
      </c>
      <c r="I117" s="757">
        <f>+H117*1.27</f>
        <v>1047121.35</v>
      </c>
    </row>
    <row r="118" spans="1:9" ht="20.100000000000001" customHeight="1">
      <c r="B118" s="810"/>
      <c r="C118" s="1822" t="s">
        <v>2058</v>
      </c>
      <c r="D118" s="1823">
        <f>SUM(D113:D117)</f>
        <v>5151000</v>
      </c>
      <c r="E118" s="1824">
        <f>SUM(E113:E117)</f>
        <v>5277000</v>
      </c>
      <c r="F118" s="1825">
        <f>SUM(F113:F117)</f>
        <v>2212601.62</v>
      </c>
      <c r="G118" s="1826">
        <f>F118/E118</f>
        <v>0.41929157096835323</v>
      </c>
      <c r="H118" s="879">
        <f>SUM(H113:H117)</f>
        <v>1742206</v>
      </c>
      <c r="I118" s="879">
        <f>SUM(I113:I117)</f>
        <v>2212601.62</v>
      </c>
    </row>
    <row r="119" spans="1:9" ht="20.100000000000001" customHeight="1">
      <c r="B119" s="810"/>
      <c r="C119" s="117"/>
      <c r="D119" s="784"/>
      <c r="E119" s="785"/>
      <c r="F119" s="786"/>
      <c r="G119" s="752"/>
    </row>
    <row r="120" spans="1:9" ht="20.100000000000001" customHeight="1">
      <c r="B120" s="810"/>
      <c r="C120" s="811"/>
      <c r="D120" s="812">
        <v>0</v>
      </c>
      <c r="E120" s="813">
        <v>0</v>
      </c>
      <c r="F120" s="814">
        <v>0</v>
      </c>
      <c r="G120" s="752"/>
    </row>
    <row r="121" spans="1:9" ht="20.100000000000001" customHeight="1">
      <c r="B121" s="810"/>
      <c r="C121" s="117"/>
      <c r="D121" s="784">
        <v>0</v>
      </c>
      <c r="E121" s="785">
        <v>0</v>
      </c>
      <c r="F121" s="786">
        <v>0</v>
      </c>
      <c r="G121" s="752"/>
    </row>
    <row r="122" spans="1:9" s="1450" customFormat="1" ht="27.75" customHeight="1">
      <c r="A122" s="1827"/>
      <c r="B122" s="1828"/>
      <c r="C122" s="1829" t="s">
        <v>126</v>
      </c>
      <c r="D122" s="1830">
        <f>SUM(D81,D88,D96,D109,D118,D121)</f>
        <v>2678503000</v>
      </c>
      <c r="E122" s="1831">
        <f>SUM(E81,E88,E96,E109,E118,E121)</f>
        <v>2808712000</v>
      </c>
      <c r="F122" s="1832">
        <f>SUM(F81,F88,F96,F109,F118,F121)</f>
        <v>584290786.13999999</v>
      </c>
      <c r="G122" s="1833">
        <f>F122/E122</f>
        <v>0.2080280164502448</v>
      </c>
      <c r="H122" s="1451"/>
      <c r="I122" s="1451"/>
    </row>
    <row r="123" spans="1:9" ht="20.100000000000001" customHeight="1">
      <c r="B123" s="114"/>
      <c r="C123" s="815"/>
      <c r="D123" s="816"/>
      <c r="E123" s="817"/>
      <c r="F123" s="818"/>
      <c r="G123" s="808"/>
    </row>
    <row r="125" spans="1:9" ht="20.100000000000001" customHeight="1">
      <c r="B125" s="114"/>
      <c r="C125" s="118" t="s">
        <v>127</v>
      </c>
      <c r="D125" s="819"/>
      <c r="E125" s="820"/>
      <c r="F125" s="821"/>
      <c r="G125" s="752"/>
    </row>
    <row r="126" spans="1:9" ht="20.100000000000001" customHeight="1">
      <c r="A126" s="2056" t="s">
        <v>2215</v>
      </c>
      <c r="B126" s="2056"/>
      <c r="C126" s="2056"/>
      <c r="D126" s="812"/>
      <c r="E126" s="813"/>
      <c r="F126" s="814"/>
      <c r="G126" s="752"/>
      <c r="H126" s="2032" t="s">
        <v>2073</v>
      </c>
      <c r="I126" s="2032"/>
    </row>
    <row r="127" spans="1:9" ht="31.5">
      <c r="A127" s="756"/>
      <c r="B127" s="2054" t="s">
        <v>68</v>
      </c>
      <c r="C127" s="2054"/>
      <c r="D127" s="741" t="s">
        <v>115</v>
      </c>
      <c r="E127" s="742" t="s">
        <v>116</v>
      </c>
      <c r="F127" s="743" t="s">
        <v>48</v>
      </c>
      <c r="G127" s="746" t="s">
        <v>1</v>
      </c>
      <c r="H127" s="757" t="s">
        <v>2071</v>
      </c>
      <c r="I127" s="757" t="s">
        <v>2072</v>
      </c>
    </row>
    <row r="128" spans="1:9" ht="21.6" customHeight="1">
      <c r="A128" s="758" t="s">
        <v>49</v>
      </c>
      <c r="B128" s="2068" t="s">
        <v>2059</v>
      </c>
      <c r="C128" s="2069"/>
      <c r="D128" s="759">
        <v>20000000</v>
      </c>
      <c r="E128" s="760">
        <v>15013000</v>
      </c>
      <c r="F128" s="761">
        <f>+I128+3054335</f>
        <v>3921256.05</v>
      </c>
      <c r="G128" s="823">
        <f t="shared" ref="G128:G136" si="10">F128/E128</f>
        <v>0.26119070472257377</v>
      </c>
      <c r="H128" s="757">
        <v>682615</v>
      </c>
      <c r="I128" s="757">
        <f>+H128*1.27</f>
        <v>866921.05</v>
      </c>
    </row>
    <row r="129" spans="1:11" ht="19.5" customHeight="1">
      <c r="A129" s="758" t="s">
        <v>51</v>
      </c>
      <c r="B129" s="2070" t="s">
        <v>1499</v>
      </c>
      <c r="C129" s="2071"/>
      <c r="D129" s="759">
        <v>15000000</v>
      </c>
      <c r="E129" s="760">
        <f>15000000+265000</f>
        <v>15265000</v>
      </c>
      <c r="F129" s="761">
        <f>+K129</f>
        <v>15264999.84</v>
      </c>
      <c r="G129" s="823">
        <f t="shared" si="10"/>
        <v>0.99999998951850633</v>
      </c>
      <c r="H129" s="757">
        <f>7127+75748+282307+241913+26535+19079+60402+51921+719574+16276+10134+191465+253663+238461+865+119842+16126+7441+73189+678864+32819+10945+187172+35827+73496+9211+592336+119575+1337199+850000+5481844+278016+233201+143874+56677+103063+373914+75134+97787</f>
        <v>13183022</v>
      </c>
      <c r="I129" s="757">
        <f>+H129*1.27+515000+420000+400000</f>
        <v>18077437.939999998</v>
      </c>
      <c r="J129" s="824">
        <f>3410776+4272402+5481844+208470</f>
        <v>13373492</v>
      </c>
      <c r="K129" s="824">
        <f>+J129*1.27+400000+515000+420000-3054335</f>
        <v>15264999.84</v>
      </c>
    </row>
    <row r="130" spans="1:11">
      <c r="A130" s="764" t="s">
        <v>53</v>
      </c>
      <c r="B130" s="2066" t="s">
        <v>1600</v>
      </c>
      <c r="C130" s="2067"/>
      <c r="D130" s="759">
        <v>5000000</v>
      </c>
      <c r="E130" s="760">
        <v>4735000</v>
      </c>
      <c r="F130" s="761"/>
      <c r="G130" s="823">
        <f t="shared" si="10"/>
        <v>0</v>
      </c>
      <c r="H130" s="757"/>
      <c r="I130" s="757"/>
    </row>
    <row r="131" spans="1:11" ht="32.25" customHeight="1">
      <c r="A131" s="764" t="s">
        <v>55</v>
      </c>
      <c r="B131" s="2066" t="s">
        <v>2082</v>
      </c>
      <c r="C131" s="2067"/>
      <c r="D131" s="759">
        <v>63000000</v>
      </c>
      <c r="E131" s="760">
        <v>63000000</v>
      </c>
      <c r="F131" s="761">
        <f>+I131</f>
        <v>25730258.420000002</v>
      </c>
      <c r="G131" s="823">
        <f t="shared" si="10"/>
        <v>0.40841680031746036</v>
      </c>
      <c r="H131" s="757">
        <f>425000+19835046</f>
        <v>20260046</v>
      </c>
      <c r="I131" s="757">
        <f>+H131*1.27</f>
        <v>25730258.420000002</v>
      </c>
    </row>
    <row r="132" spans="1:11" ht="20.100000000000001" customHeight="1">
      <c r="A132" s="764" t="s">
        <v>58</v>
      </c>
      <c r="B132" s="2066" t="s">
        <v>2004</v>
      </c>
      <c r="C132" s="2067"/>
      <c r="D132" s="759"/>
      <c r="E132" s="760">
        <v>7500000</v>
      </c>
      <c r="F132" s="761">
        <f>+I132</f>
        <v>1270000</v>
      </c>
      <c r="G132" s="823">
        <f t="shared" si="10"/>
        <v>0.16933333333333334</v>
      </c>
      <c r="H132" s="757">
        <f>550000+450000</f>
        <v>1000000</v>
      </c>
      <c r="I132" s="757">
        <f>+H132*1.27</f>
        <v>1270000</v>
      </c>
    </row>
    <row r="133" spans="1:11" ht="30.75" customHeight="1">
      <c r="A133" s="764" t="s">
        <v>60</v>
      </c>
      <c r="B133" s="2066" t="s">
        <v>2060</v>
      </c>
      <c r="C133" s="2067"/>
      <c r="D133" s="759"/>
      <c r="E133" s="760">
        <v>3928000</v>
      </c>
      <c r="F133" s="761">
        <f>+I133</f>
        <v>3928037.61</v>
      </c>
      <c r="G133" s="823">
        <f t="shared" si="10"/>
        <v>1.0000095748472504</v>
      </c>
      <c r="H133" s="757">
        <v>3092943</v>
      </c>
      <c r="I133" s="757">
        <f>+H133*1.27</f>
        <v>3928037.61</v>
      </c>
    </row>
    <row r="134" spans="1:11" ht="19.5" customHeight="1">
      <c r="A134" s="764" t="s">
        <v>62</v>
      </c>
      <c r="B134" s="2066" t="s">
        <v>2061</v>
      </c>
      <c r="C134" s="2067"/>
      <c r="D134" s="759"/>
      <c r="E134" s="760">
        <v>2324000</v>
      </c>
      <c r="F134" s="761">
        <f>+I134</f>
        <v>2324100</v>
      </c>
      <c r="G134" s="823">
        <v>0</v>
      </c>
      <c r="H134" s="757">
        <v>1830000</v>
      </c>
      <c r="I134" s="757">
        <f>+H134*1.27</f>
        <v>2324100</v>
      </c>
    </row>
    <row r="135" spans="1:11" s="766" customFormat="1" ht="30.75" customHeight="1">
      <c r="A135" s="764" t="s">
        <v>65</v>
      </c>
      <c r="B135" s="2066" t="s">
        <v>1955</v>
      </c>
      <c r="C135" s="2067"/>
      <c r="D135" s="759"/>
      <c r="E135" s="760">
        <v>31081000</v>
      </c>
      <c r="F135" s="761">
        <f>+I135</f>
        <v>31081181.170000002</v>
      </c>
      <c r="G135" s="825">
        <f t="shared" si="10"/>
        <v>1.000005828963032</v>
      </c>
      <c r="H135" s="765">
        <v>24473371</v>
      </c>
      <c r="I135" s="765">
        <f>+H135*1.27</f>
        <v>31081181.170000002</v>
      </c>
    </row>
    <row r="136" spans="1:11" ht="19.5" customHeight="1" thickBot="1">
      <c r="A136" s="826" t="s">
        <v>98</v>
      </c>
      <c r="B136" s="2061" t="s">
        <v>2062</v>
      </c>
      <c r="C136" s="2062"/>
      <c r="D136" s="827"/>
      <c r="E136" s="828">
        <v>1906000</v>
      </c>
      <c r="F136" s="829"/>
      <c r="G136" s="830">
        <f t="shared" si="10"/>
        <v>0</v>
      </c>
      <c r="H136" s="757"/>
      <c r="I136" s="757"/>
    </row>
    <row r="137" spans="1:11" ht="19.5" customHeight="1" thickTop="1" thickBot="1">
      <c r="A137" s="831" t="s">
        <v>100</v>
      </c>
      <c r="B137" s="2063" t="s">
        <v>118</v>
      </c>
      <c r="C137" s="2064"/>
      <c r="D137" s="771"/>
      <c r="E137" s="772"/>
      <c r="F137" s="773"/>
      <c r="G137" s="1836"/>
      <c r="H137" s="757"/>
      <c r="I137" s="757"/>
    </row>
    <row r="138" spans="1:11" ht="21" customHeight="1" thickTop="1" thickBot="1">
      <c r="A138" s="832"/>
      <c r="B138" s="884" t="s">
        <v>49</v>
      </c>
      <c r="C138" s="885" t="s">
        <v>2063</v>
      </c>
      <c r="D138" s="833">
        <v>12700000</v>
      </c>
      <c r="E138" s="834">
        <v>12700000</v>
      </c>
      <c r="F138" s="835">
        <f>+I138</f>
        <v>11421916.449999999</v>
      </c>
      <c r="G138" s="836">
        <f>F138/E138</f>
        <v>0.89936349999999998</v>
      </c>
      <c r="H138" s="757">
        <v>8993635</v>
      </c>
      <c r="I138" s="757">
        <f>+H138*1.27</f>
        <v>11421916.449999999</v>
      </c>
    </row>
    <row r="139" spans="1:11" ht="19.5" customHeight="1" thickTop="1" thickBot="1">
      <c r="A139" s="837" t="s">
        <v>103</v>
      </c>
      <c r="B139" s="2065" t="s">
        <v>2020</v>
      </c>
      <c r="C139" s="2065"/>
      <c r="D139" s="771"/>
      <c r="E139" s="772"/>
      <c r="F139" s="773"/>
      <c r="G139" s="838"/>
      <c r="H139" s="757"/>
      <c r="I139" s="757"/>
    </row>
    <row r="140" spans="1:11" ht="30.75" customHeight="1" thickTop="1">
      <c r="A140" s="839"/>
      <c r="B140" s="886" t="s">
        <v>49</v>
      </c>
      <c r="C140" s="887" t="s">
        <v>2064</v>
      </c>
      <c r="D140" s="774">
        <v>1207000</v>
      </c>
      <c r="E140" s="775">
        <v>1207000</v>
      </c>
      <c r="F140" s="776">
        <f>+I140</f>
        <v>0</v>
      </c>
      <c r="G140" s="840">
        <f>F140/E140</f>
        <v>0</v>
      </c>
      <c r="H140" s="757">
        <v>0</v>
      </c>
      <c r="I140" s="757">
        <v>0</v>
      </c>
    </row>
    <row r="141" spans="1:11" ht="20.100000000000001" customHeight="1">
      <c r="B141" s="766"/>
      <c r="C141" s="1834" t="s">
        <v>2065</v>
      </c>
      <c r="D141" s="1810">
        <f>SUM(D128:D140)</f>
        <v>116907000</v>
      </c>
      <c r="E141" s="1811">
        <f>SUM(E128:E140)</f>
        <v>158659000</v>
      </c>
      <c r="F141" s="1812">
        <f>SUM(F128:F140)</f>
        <v>94941749.540000007</v>
      </c>
      <c r="G141" s="1813">
        <f>F141/E141</f>
        <v>0.59840128539824411</v>
      </c>
    </row>
    <row r="142" spans="1:11" ht="20.100000000000001" customHeight="1">
      <c r="B142" s="116"/>
      <c r="C142" s="841"/>
      <c r="D142" s="805"/>
      <c r="E142" s="806"/>
      <c r="F142" s="807"/>
      <c r="G142" s="808"/>
    </row>
    <row r="143" spans="1:11" ht="29.25" customHeight="1">
      <c r="B143" s="842" t="s">
        <v>51</v>
      </c>
      <c r="C143" s="211" t="s">
        <v>2069</v>
      </c>
      <c r="D143" s="805"/>
      <c r="E143" s="806"/>
      <c r="F143" s="807"/>
      <c r="G143" s="808"/>
      <c r="H143" s="2032" t="s">
        <v>2073</v>
      </c>
      <c r="I143" s="2032"/>
    </row>
    <row r="144" spans="1:11" ht="33.75" customHeight="1">
      <c r="A144" s="756"/>
      <c r="B144" s="2054" t="s">
        <v>68</v>
      </c>
      <c r="C144" s="2054"/>
      <c r="D144" s="741" t="s">
        <v>115</v>
      </c>
      <c r="E144" s="742" t="s">
        <v>116</v>
      </c>
      <c r="F144" s="743" t="s">
        <v>48</v>
      </c>
      <c r="G144" s="744" t="s">
        <v>1</v>
      </c>
      <c r="H144" s="757" t="s">
        <v>2071</v>
      </c>
      <c r="I144" s="757" t="s">
        <v>2072</v>
      </c>
    </row>
    <row r="145" spans="1:9" ht="20.100000000000001" customHeight="1">
      <c r="A145" s="1663"/>
      <c r="B145" s="2060" t="s">
        <v>2068</v>
      </c>
      <c r="C145" s="2060"/>
      <c r="D145" s="843"/>
      <c r="E145" s="844"/>
      <c r="F145" s="845"/>
      <c r="G145" s="846"/>
      <c r="H145" s="757"/>
      <c r="I145" s="757"/>
    </row>
    <row r="146" spans="1:9" ht="20.100000000000001" customHeight="1">
      <c r="A146" s="880" t="s">
        <v>49</v>
      </c>
      <c r="B146" s="1664" t="s">
        <v>2066</v>
      </c>
      <c r="C146" s="1664"/>
      <c r="D146" s="843"/>
      <c r="E146" s="760">
        <v>8000</v>
      </c>
      <c r="F146" s="761">
        <f>+I146</f>
        <v>7499.35</v>
      </c>
      <c r="G146" s="762">
        <f t="shared" ref="G146" si="11">F146/E146</f>
        <v>0.93741875000000008</v>
      </c>
      <c r="H146" s="757">
        <v>5905</v>
      </c>
      <c r="I146" s="757">
        <f>+H146*1.27</f>
        <v>7499.35</v>
      </c>
    </row>
    <row r="147" spans="1:9" ht="20.100000000000001" customHeight="1">
      <c r="B147" s="116"/>
      <c r="C147" s="789" t="s">
        <v>2067</v>
      </c>
      <c r="D147" s="847">
        <v>0</v>
      </c>
      <c r="E147" s="848">
        <f>SUM(E146)</f>
        <v>8000</v>
      </c>
      <c r="F147" s="793">
        <f>SUM(F146)</f>
        <v>7499.35</v>
      </c>
      <c r="G147" s="849">
        <f>+F147/E147</f>
        <v>0.93741875000000008</v>
      </c>
    </row>
    <row r="148" spans="1:9" ht="20.100000000000001" customHeight="1">
      <c r="B148" s="116"/>
      <c r="C148" s="852" t="s">
        <v>129</v>
      </c>
      <c r="D148" s="1814">
        <f>SUM(D141:D147)</f>
        <v>116907000</v>
      </c>
      <c r="E148" s="1815">
        <f>+E141+E147</f>
        <v>158667000</v>
      </c>
      <c r="F148" s="1816">
        <f>+F147+F141</f>
        <v>94949248.890000001</v>
      </c>
      <c r="G148" s="1817">
        <f>F148/E148</f>
        <v>0.59841837867987668</v>
      </c>
    </row>
    <row r="149" spans="1:9" ht="20.100000000000001" customHeight="1">
      <c r="B149" s="9" t="s">
        <v>130</v>
      </c>
      <c r="C149" s="850"/>
      <c r="D149" s="784"/>
      <c r="E149" s="785"/>
      <c r="F149" s="786"/>
      <c r="G149" s="787"/>
    </row>
    <row r="150" spans="1:9" ht="20.100000000000001" customHeight="1">
      <c r="B150" s="116"/>
      <c r="C150" s="822" t="s">
        <v>131</v>
      </c>
      <c r="D150" s="812"/>
      <c r="E150" s="813"/>
      <c r="F150" s="814"/>
      <c r="G150" s="752"/>
    </row>
    <row r="151" spans="1:9" ht="31.5">
      <c r="A151" s="756"/>
      <c r="B151" s="2058" t="s">
        <v>68</v>
      </c>
      <c r="C151" s="2059"/>
      <c r="D151" s="741" t="s">
        <v>115</v>
      </c>
      <c r="E151" s="742" t="s">
        <v>116</v>
      </c>
      <c r="F151" s="743" t="s">
        <v>48</v>
      </c>
      <c r="G151" s="744" t="s">
        <v>1</v>
      </c>
    </row>
    <row r="152" spans="1:9" ht="20.100000000000001" customHeight="1">
      <c r="B152" s="116"/>
      <c r="C152" s="851" t="s">
        <v>132</v>
      </c>
      <c r="D152" s="812"/>
      <c r="E152" s="813"/>
      <c r="F152" s="814"/>
      <c r="G152" s="752"/>
    </row>
    <row r="153" spans="1:9" ht="20.100000000000001" customHeight="1">
      <c r="A153" s="758" t="s">
        <v>49</v>
      </c>
      <c r="B153" s="2072" t="s">
        <v>1500</v>
      </c>
      <c r="C153" s="2072"/>
      <c r="D153" s="759">
        <v>10000000</v>
      </c>
      <c r="E153" s="760">
        <v>10000000</v>
      </c>
      <c r="F153" s="761">
        <v>3000000</v>
      </c>
      <c r="G153" s="762">
        <f>F153/E153</f>
        <v>0.3</v>
      </c>
    </row>
    <row r="154" spans="1:9" ht="20.100000000000001" customHeight="1">
      <c r="B154" s="116"/>
      <c r="C154" s="852" t="s">
        <v>133</v>
      </c>
      <c r="D154" s="847">
        <f>SUM(D153:D153)</f>
        <v>10000000</v>
      </c>
      <c r="E154" s="848">
        <f>SUM(E153:E153)</f>
        <v>10000000</v>
      </c>
      <c r="F154" s="793">
        <f>SUM(F153:F153)</f>
        <v>3000000</v>
      </c>
      <c r="G154" s="853">
        <f>F154/E154</f>
        <v>0.3</v>
      </c>
    </row>
    <row r="155" spans="1:9" ht="31.5">
      <c r="A155" s="756"/>
      <c r="B155" s="2058" t="s">
        <v>68</v>
      </c>
      <c r="C155" s="2059"/>
      <c r="D155" s="741" t="s">
        <v>115</v>
      </c>
      <c r="E155" s="742" t="s">
        <v>116</v>
      </c>
      <c r="F155" s="743" t="s">
        <v>48</v>
      </c>
      <c r="G155" s="744" t="s">
        <v>1</v>
      </c>
    </row>
    <row r="156" spans="1:9" ht="20.100000000000001" customHeight="1">
      <c r="B156" s="116"/>
      <c r="C156" s="851" t="s">
        <v>134</v>
      </c>
      <c r="D156" s="812"/>
      <c r="E156" s="813"/>
      <c r="F156" s="814"/>
      <c r="G156" s="854"/>
    </row>
    <row r="157" spans="1:9" ht="20.100000000000001" customHeight="1">
      <c r="A157" s="758" t="s">
        <v>49</v>
      </c>
      <c r="B157" s="2057" t="s">
        <v>135</v>
      </c>
      <c r="C157" s="2057"/>
      <c r="D157" s="759">
        <v>2704000</v>
      </c>
      <c r="E157" s="760">
        <v>2704000</v>
      </c>
      <c r="F157" s="761">
        <v>0</v>
      </c>
      <c r="G157" s="762">
        <v>0</v>
      </c>
    </row>
    <row r="158" spans="1:9" ht="20.100000000000001" customHeight="1">
      <c r="A158" s="758" t="s">
        <v>51</v>
      </c>
      <c r="B158" s="2057" t="s">
        <v>2070</v>
      </c>
      <c r="C158" s="2057"/>
      <c r="D158" s="759">
        <v>17961000</v>
      </c>
      <c r="E158" s="760">
        <v>17961000</v>
      </c>
      <c r="F158" s="761">
        <v>0</v>
      </c>
      <c r="G158" s="762">
        <f>F158/E158</f>
        <v>0</v>
      </c>
    </row>
    <row r="159" spans="1:9" ht="20.100000000000001" customHeight="1">
      <c r="C159" s="852" t="s">
        <v>134</v>
      </c>
      <c r="D159" s="847">
        <f>SUM(D157:D158)</f>
        <v>20665000</v>
      </c>
      <c r="E159" s="848">
        <f>SUM(E157:E158)</f>
        <v>20665000</v>
      </c>
      <c r="F159" s="855">
        <f>SUM(F157:F158)</f>
        <v>0</v>
      </c>
      <c r="G159" s="853">
        <f>F159/E159</f>
        <v>0</v>
      </c>
      <c r="H159" s="856"/>
    </row>
    <row r="160" spans="1:9" ht="20.100000000000001" customHeight="1">
      <c r="C160" s="857"/>
      <c r="D160" s="784"/>
      <c r="E160" s="785"/>
      <c r="F160" s="786"/>
      <c r="G160" s="854"/>
      <c r="H160" s="856"/>
    </row>
    <row r="161" spans="3:7" ht="24.6" customHeight="1" thickBot="1">
      <c r="C161" s="858" t="s">
        <v>136</v>
      </c>
      <c r="D161" s="859">
        <f>SUM(D159,D154,,D148,D122)</f>
        <v>2826075000</v>
      </c>
      <c r="E161" s="860">
        <f>SUM(E159,E154,,E148,E122)</f>
        <v>2998044000</v>
      </c>
      <c r="F161" s="861">
        <f>SUM(F159,F154,,F148,F122)</f>
        <v>682240035.02999997</v>
      </c>
      <c r="G161" s="862">
        <f>F161/E161</f>
        <v>0.2275617152483419</v>
      </c>
    </row>
    <row r="162" spans="3:7" ht="16.5" thickTop="1"/>
  </sheetData>
  <autoFilter ref="B1:B162"/>
  <mergeCells count="117">
    <mergeCell ref="B30:C30"/>
    <mergeCell ref="B43:C43"/>
    <mergeCell ref="B44:C44"/>
    <mergeCell ref="B45:C45"/>
    <mergeCell ref="B46:C46"/>
    <mergeCell ref="B37:C37"/>
    <mergeCell ref="B39:C39"/>
    <mergeCell ref="B40:C40"/>
    <mergeCell ref="B41:C41"/>
    <mergeCell ref="B32:C32"/>
    <mergeCell ref="B33:C33"/>
    <mergeCell ref="B34:C34"/>
    <mergeCell ref="B35:C35"/>
    <mergeCell ref="B36:C36"/>
    <mergeCell ref="B29:C29"/>
    <mergeCell ref="B31:C31"/>
    <mergeCell ref="B38:C38"/>
    <mergeCell ref="B79:C79"/>
    <mergeCell ref="B80:C80"/>
    <mergeCell ref="B52:C52"/>
    <mergeCell ref="B53:C53"/>
    <mergeCell ref="B54:C54"/>
    <mergeCell ref="B67:C67"/>
    <mergeCell ref="B71:C71"/>
    <mergeCell ref="A74:C74"/>
    <mergeCell ref="B75:C75"/>
    <mergeCell ref="B76:C76"/>
    <mergeCell ref="B56:C56"/>
    <mergeCell ref="B77:C77"/>
    <mergeCell ref="B55:C55"/>
    <mergeCell ref="B78:C78"/>
    <mergeCell ref="B60:C60"/>
    <mergeCell ref="B47:C47"/>
    <mergeCell ref="B48:C48"/>
    <mergeCell ref="B49:C49"/>
    <mergeCell ref="B50:C50"/>
    <mergeCell ref="B51:C51"/>
    <mergeCell ref="B42:C42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:G2"/>
    <mergeCell ref="B12:C12"/>
    <mergeCell ref="B13:C13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53:C153"/>
    <mergeCell ref="B157:C157"/>
    <mergeCell ref="B99:C99"/>
    <mergeCell ref="B100:C100"/>
    <mergeCell ref="B104:C104"/>
    <mergeCell ref="B84:C84"/>
    <mergeCell ref="B85:C85"/>
    <mergeCell ref="A86:C86"/>
    <mergeCell ref="B87:C87"/>
    <mergeCell ref="B92:C92"/>
    <mergeCell ref="A111:G111"/>
    <mergeCell ref="B112:C112"/>
    <mergeCell ref="B113:C113"/>
    <mergeCell ref="B114:C114"/>
    <mergeCell ref="A115:C115"/>
    <mergeCell ref="A7:C7"/>
    <mergeCell ref="A126:C126"/>
    <mergeCell ref="B158:C158"/>
    <mergeCell ref="B151:C151"/>
    <mergeCell ref="B155:C155"/>
    <mergeCell ref="B145:C145"/>
    <mergeCell ref="B144:C144"/>
    <mergeCell ref="B136:C136"/>
    <mergeCell ref="B127:C127"/>
    <mergeCell ref="B137:C137"/>
    <mergeCell ref="B139:C139"/>
    <mergeCell ref="B131:C131"/>
    <mergeCell ref="B132:C132"/>
    <mergeCell ref="B133:C133"/>
    <mergeCell ref="B134:C134"/>
    <mergeCell ref="B135:C135"/>
    <mergeCell ref="B128:C128"/>
    <mergeCell ref="B129:C129"/>
    <mergeCell ref="B130:C130"/>
    <mergeCell ref="H83:I83"/>
    <mergeCell ref="H90:I90"/>
    <mergeCell ref="H98:I98"/>
    <mergeCell ref="H111:I111"/>
    <mergeCell ref="H126:I126"/>
    <mergeCell ref="H143:I143"/>
    <mergeCell ref="H7:I7"/>
    <mergeCell ref="B107:C107"/>
    <mergeCell ref="B108:C108"/>
    <mergeCell ref="A83:G83"/>
    <mergeCell ref="B8:C8"/>
    <mergeCell ref="A90:G90"/>
    <mergeCell ref="B91:C91"/>
    <mergeCell ref="A98:G98"/>
    <mergeCell ref="B101:C101"/>
    <mergeCell ref="B102:C102"/>
    <mergeCell ref="B103:C103"/>
    <mergeCell ref="A105:C105"/>
    <mergeCell ref="B106:C106"/>
    <mergeCell ref="B93:C93"/>
    <mergeCell ref="A94:C94"/>
    <mergeCell ref="B95:C95"/>
    <mergeCell ref="B116:C116"/>
    <mergeCell ref="B117:C117"/>
  </mergeCells>
  <phoneticPr fontId="74" type="noConversion"/>
  <printOptions headings="1"/>
  <pageMargins left="0.74803149606299213" right="0.74803149606299213" top="0.98425196850393704" bottom="0.98425196850393704" header="0.11811023622047245" footer="0.51181102362204722"/>
  <pageSetup paperSize="9" scale="65" firstPageNumber="0" fitToHeight="0" orientation="portrait" r:id="rId1"/>
  <headerFooter>
    <oddHeader>&amp;R&amp;A melléklet a /2026.(V.28.) önkormányzati rendelethez/ &amp;P.oldal</oddHeader>
  </headerFooter>
  <rowBreaks count="2" manualBreakCount="2">
    <brk id="97" max="6" man="1"/>
    <brk id="123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H18"/>
  <sheetViews>
    <sheetView zoomScaleNormal="100" workbookViewId="0">
      <selection activeCell="A3" sqref="A3:H3"/>
    </sheetView>
  </sheetViews>
  <sheetFormatPr defaultRowHeight="12.75"/>
  <cols>
    <col min="1" max="1" width="4.85546875" style="60"/>
    <col min="2" max="2" width="35" style="60"/>
    <col min="3" max="5" width="14.85546875" style="60"/>
    <col min="6" max="7" width="14.85546875" style="1183"/>
    <col min="8" max="8" width="14.85546875" style="60"/>
    <col min="9" max="1025" width="8.7109375"/>
  </cols>
  <sheetData>
    <row r="1" spans="1:8">
      <c r="A1"/>
      <c r="B1"/>
      <c r="C1"/>
      <c r="D1"/>
      <c r="E1"/>
      <c r="F1" s="738"/>
      <c r="G1" s="738"/>
      <c r="H1"/>
    </row>
    <row r="2" spans="1:8" ht="21" customHeight="1">
      <c r="A2" s="2108" t="s">
        <v>2237</v>
      </c>
      <c r="B2" s="2108"/>
      <c r="C2" s="2108"/>
      <c r="D2" s="2108"/>
      <c r="E2" s="2108"/>
      <c r="F2" s="2108"/>
      <c r="G2" s="2108"/>
      <c r="H2" s="2108"/>
    </row>
    <row r="3" spans="1:8" ht="17.25" customHeight="1">
      <c r="A3" s="2108" t="s">
        <v>2154</v>
      </c>
      <c r="B3" s="2108"/>
      <c r="C3" s="2108"/>
      <c r="D3" s="2108"/>
      <c r="E3" s="2108"/>
      <c r="F3" s="2108"/>
      <c r="G3" s="2108"/>
      <c r="H3" s="2108"/>
    </row>
    <row r="4" spans="1:8">
      <c r="A4"/>
      <c r="B4"/>
      <c r="C4"/>
      <c r="D4"/>
      <c r="E4"/>
      <c r="F4" s="738"/>
      <c r="G4" s="738"/>
      <c r="H4"/>
    </row>
    <row r="6" spans="1:8" ht="15.75">
      <c r="A6"/>
      <c r="B6"/>
      <c r="C6"/>
      <c r="D6"/>
      <c r="E6"/>
      <c r="F6" s="738"/>
      <c r="G6" s="738"/>
      <c r="H6" s="68" t="s">
        <v>38</v>
      </c>
    </row>
    <row r="7" spans="1:8">
      <c r="A7"/>
      <c r="B7"/>
      <c r="C7"/>
      <c r="D7"/>
      <c r="E7"/>
      <c r="F7" s="738"/>
      <c r="G7" s="738"/>
      <c r="H7"/>
    </row>
    <row r="8" spans="1:8" ht="82.5" customHeight="1">
      <c r="A8" s="2030" t="s">
        <v>137</v>
      </c>
      <c r="B8" s="2030"/>
      <c r="C8" s="121" t="s">
        <v>2155</v>
      </c>
      <c r="D8" s="122" t="s">
        <v>2156</v>
      </c>
      <c r="E8" s="121" t="s">
        <v>2157</v>
      </c>
      <c r="F8" s="122" t="s">
        <v>138</v>
      </c>
      <c r="G8" s="121" t="s">
        <v>139</v>
      </c>
      <c r="H8" s="122" t="s">
        <v>140</v>
      </c>
    </row>
    <row r="9" spans="1:8" ht="18.75" customHeight="1">
      <c r="A9" s="123"/>
      <c r="B9"/>
      <c r="C9" s="124" t="s">
        <v>49</v>
      </c>
      <c r="D9" s="124" t="s">
        <v>51</v>
      </c>
      <c r="E9" s="124" t="s">
        <v>53</v>
      </c>
      <c r="F9" s="124" t="s">
        <v>55</v>
      </c>
      <c r="G9" s="124" t="s">
        <v>58</v>
      </c>
      <c r="H9" s="124" t="s">
        <v>60</v>
      </c>
    </row>
    <row r="10" spans="1:8" ht="18.75" customHeight="1">
      <c r="A10" s="125"/>
      <c r="B10" s="41" t="s">
        <v>120</v>
      </c>
      <c r="C10" s="125"/>
      <c r="D10" s="125"/>
      <c r="E10" s="125"/>
      <c r="F10" s="1336">
        <f>+'1.'!D9+'1.'!D10+'1.'!D11+'1.'!D12+'1.'!D13+'1.'!D14+'1.'!D15+'1.'!D67+'1.'!D66+'1.'!D65</f>
        <v>179121000</v>
      </c>
      <c r="G10" s="125"/>
      <c r="H10" s="125"/>
    </row>
    <row r="11" spans="1:8" ht="18.75" customHeight="1">
      <c r="A11" s="127" t="s">
        <v>49</v>
      </c>
      <c r="B11" s="41" t="s">
        <v>141</v>
      </c>
      <c r="C11" s="1336">
        <v>321723000</v>
      </c>
      <c r="D11" s="1336">
        <v>328668000</v>
      </c>
      <c r="E11" s="1336">
        <v>293816000</v>
      </c>
      <c r="F11" s="1337">
        <f>+'1.'!D42+'1.'!D56+4519000</f>
        <v>109622000</v>
      </c>
      <c r="G11" s="1336">
        <f>E11-F11</f>
        <v>184194000</v>
      </c>
      <c r="H11" s="128">
        <f>E11/D11</f>
        <v>0.89395986223179624</v>
      </c>
    </row>
    <row r="12" spans="1:8" ht="18.75" customHeight="1">
      <c r="A12" s="127" t="s">
        <v>51</v>
      </c>
      <c r="B12" s="41" t="s">
        <v>41</v>
      </c>
      <c r="C12" s="1336">
        <v>355711000</v>
      </c>
      <c r="D12" s="1336">
        <v>362912000</v>
      </c>
      <c r="E12" s="1336">
        <v>355081000</v>
      </c>
      <c r="F12" s="1337">
        <f>+'1.'!D33+'1.'!D48+1610000</f>
        <v>323192000</v>
      </c>
      <c r="G12" s="1336">
        <f>E12-F12</f>
        <v>31889000</v>
      </c>
      <c r="H12" s="128">
        <f>E12/D12</f>
        <v>0.9784217661581871</v>
      </c>
    </row>
    <row r="13" spans="1:8" ht="18.75" customHeight="1">
      <c r="A13" s="127" t="s">
        <v>53</v>
      </c>
      <c r="B13" s="41" t="s">
        <v>142</v>
      </c>
      <c r="C13" s="1336">
        <v>160905000</v>
      </c>
      <c r="D13" s="1336">
        <v>167951000</v>
      </c>
      <c r="E13" s="1336">
        <v>141059000</v>
      </c>
      <c r="F13" s="1337">
        <f>+'1.'!C60+'1.'!D69+'1.'!D70</f>
        <v>25024000</v>
      </c>
      <c r="G13" s="1336">
        <f t="shared" ref="G13" si="0">E13-F13</f>
        <v>116035000</v>
      </c>
      <c r="H13" s="128">
        <f>E13/D13</f>
        <v>0.83988187030741113</v>
      </c>
    </row>
    <row r="14" spans="1:8" ht="18.75" customHeight="1">
      <c r="A14" s="127" t="s">
        <v>55</v>
      </c>
      <c r="B14" s="41" t="s">
        <v>43</v>
      </c>
      <c r="C14" s="1336">
        <v>203159000</v>
      </c>
      <c r="D14" s="1336">
        <v>229922000</v>
      </c>
      <c r="E14" s="1336">
        <v>218809000</v>
      </c>
      <c r="F14" s="1337">
        <f>+'1.'!D8</f>
        <v>152939000</v>
      </c>
      <c r="G14" s="1336">
        <f>E14-F14</f>
        <v>65870000</v>
      </c>
      <c r="H14" s="128">
        <f>E14/D14</f>
        <v>0.95166621723888967</v>
      </c>
    </row>
    <row r="15" spans="1:8" ht="18.75" customHeight="1">
      <c r="A15" s="125"/>
      <c r="B15" s="41"/>
      <c r="C15" s="41"/>
      <c r="D15" s="41"/>
      <c r="E15" s="41"/>
      <c r="F15" s="41"/>
      <c r="G15" s="126"/>
      <c r="H15" s="128"/>
    </row>
    <row r="16" spans="1:8" ht="18.75" customHeight="1">
      <c r="A16" s="125"/>
      <c r="B16" s="41"/>
      <c r="C16" s="41"/>
      <c r="D16" s="41"/>
      <c r="E16" s="41"/>
      <c r="F16" s="41"/>
      <c r="G16" s="126"/>
      <c r="H16" s="128"/>
    </row>
    <row r="17" spans="1:8" ht="18.75" customHeight="1" thickBot="1">
      <c r="A17" s="129"/>
      <c r="B17" s="130" t="s">
        <v>143</v>
      </c>
      <c r="C17" s="194">
        <f>SUM(C11:C14)</f>
        <v>1041498000</v>
      </c>
      <c r="D17" s="194">
        <f>SUM(D11:D14)</f>
        <v>1089453000</v>
      </c>
      <c r="E17" s="194">
        <f>SUM(E11:E14)</f>
        <v>1008765000</v>
      </c>
      <c r="F17" s="1338">
        <f>SUM(F11:F14)</f>
        <v>610777000</v>
      </c>
      <c r="G17" s="194">
        <f>SUM(G11:G14)</f>
        <v>397988000</v>
      </c>
      <c r="H17" s="132">
        <f>E17/D17</f>
        <v>0.92593714460375987</v>
      </c>
    </row>
    <row r="18" spans="1:8" ht="18.75" customHeight="1" thickBot="1">
      <c r="A18" s="131"/>
      <c r="B18" s="131" t="s">
        <v>144</v>
      </c>
      <c r="C18" s="194"/>
      <c r="D18" s="194"/>
      <c r="E18" s="194"/>
      <c r="F18" s="1339">
        <f>SUM(F10,F17)</f>
        <v>789898000</v>
      </c>
      <c r="G18" s="194"/>
      <c r="H18" s="131"/>
    </row>
  </sheetData>
  <mergeCells count="3">
    <mergeCell ref="A2:H2"/>
    <mergeCell ref="A3:H3"/>
    <mergeCell ref="A8:B8"/>
  </mergeCells>
  <printOptions headings="1"/>
  <pageMargins left="0.74803149606299213" right="0.74803149606299213" top="0.98425196850393704" bottom="0.98425196850393704" header="0.31496062992125984" footer="0.51181102362204722"/>
  <pageSetup paperSize="9" firstPageNumber="0" orientation="landscape" r:id="rId1"/>
  <headerFooter>
    <oddHeader>&amp;R&amp;A melléklet a /2026.(V.28.) önkormányzati rendelethez/ &amp;P.oldal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59"/>
  <sheetViews>
    <sheetView zoomScaleNormal="100" workbookViewId="0">
      <selection activeCell="G15" sqref="G15"/>
    </sheetView>
  </sheetViews>
  <sheetFormatPr defaultRowHeight="15.75"/>
  <cols>
    <col min="1" max="1" width="2.7109375" style="1"/>
    <col min="2" max="2" width="41" style="1"/>
    <col min="3" max="4" width="12.140625" style="486"/>
    <col min="5" max="5" width="12.28515625" style="486"/>
    <col min="6" max="6" width="2.7109375" style="486"/>
    <col min="7" max="7" width="34" style="486"/>
    <col min="8" max="8" width="12.42578125" style="486"/>
    <col min="9" max="9" width="12.28515625" style="486"/>
    <col min="10" max="10" width="12.42578125" style="486"/>
    <col min="11" max="1025" width="8.7109375"/>
  </cols>
  <sheetData>
    <row r="1" spans="1:11" ht="17.25" customHeight="1">
      <c r="A1"/>
      <c r="B1"/>
      <c r="C1" s="489"/>
      <c r="D1" s="489"/>
      <c r="E1" s="489"/>
      <c r="F1" s="489"/>
      <c r="G1" s="489"/>
      <c r="H1" s="489"/>
      <c r="I1" s="489"/>
      <c r="J1" s="489"/>
    </row>
    <row r="2" spans="1:11">
      <c r="A2" s="133"/>
      <c r="B2" s="133"/>
      <c r="C2" s="639"/>
      <c r="D2" s="639"/>
      <c r="E2" s="639"/>
      <c r="F2" s="639"/>
      <c r="G2" s="489"/>
      <c r="H2" s="489"/>
      <c r="I2" s="489"/>
      <c r="J2" s="489"/>
    </row>
    <row r="3" spans="1:11" ht="18.75">
      <c r="A3" s="2109" t="s">
        <v>2239</v>
      </c>
      <c r="B3" s="2109"/>
      <c r="C3" s="2109"/>
      <c r="D3" s="2109"/>
      <c r="E3" s="2109"/>
      <c r="F3" s="2109"/>
      <c r="G3" s="2109"/>
      <c r="H3" s="2109"/>
      <c r="I3" s="2109"/>
      <c r="J3" s="2109"/>
    </row>
    <row r="4" spans="1:11" ht="40.5" customHeight="1">
      <c r="A4" s="2116" t="s">
        <v>2240</v>
      </c>
      <c r="B4" s="2116"/>
      <c r="C4" s="2116"/>
      <c r="D4" s="2116"/>
      <c r="E4" s="2116"/>
      <c r="F4" s="2116"/>
      <c r="G4" s="2116"/>
      <c r="H4" s="2116"/>
      <c r="I4" s="2116"/>
      <c r="J4" s="2116"/>
    </row>
    <row r="5" spans="1:11" ht="18.75">
      <c r="A5" s="2109" t="s">
        <v>2241</v>
      </c>
      <c r="B5" s="2109"/>
      <c r="C5" s="2109"/>
      <c r="D5" s="2109"/>
      <c r="E5" s="2109"/>
      <c r="F5" s="2109"/>
      <c r="G5" s="2109"/>
      <c r="H5" s="2109"/>
      <c r="I5" s="2109"/>
      <c r="J5" s="2109"/>
    </row>
    <row r="6" spans="1:11">
      <c r="A6" s="133"/>
      <c r="B6" s="133"/>
      <c r="C6" s="639"/>
      <c r="D6" s="639"/>
      <c r="E6" s="639"/>
      <c r="F6" s="639"/>
      <c r="G6" s="489"/>
      <c r="H6" s="489"/>
      <c r="I6" s="489"/>
      <c r="J6" s="489"/>
    </row>
    <row r="7" spans="1:11">
      <c r="A7" s="120"/>
      <c r="B7" s="134"/>
      <c r="C7" s="640"/>
      <c r="D7" s="640"/>
      <c r="E7" s="640"/>
      <c r="F7" s="641"/>
      <c r="G7" s="489"/>
      <c r="H7" s="489"/>
      <c r="I7" s="2110" t="s">
        <v>38</v>
      </c>
      <c r="J7" s="2110"/>
    </row>
    <row r="8" spans="1:11" ht="12.75" customHeight="1">
      <c r="A8" s="2111" t="s">
        <v>145</v>
      </c>
      <c r="B8" s="2111"/>
      <c r="C8" s="2112" t="s">
        <v>46</v>
      </c>
      <c r="D8" s="2112" t="s">
        <v>47</v>
      </c>
      <c r="E8" s="2113" t="s">
        <v>48</v>
      </c>
      <c r="F8" s="2114" t="s">
        <v>146</v>
      </c>
      <c r="G8" s="2114"/>
      <c r="H8" s="2112" t="s">
        <v>46</v>
      </c>
      <c r="I8" s="2112" t="s">
        <v>47</v>
      </c>
      <c r="J8" s="2115" t="s">
        <v>48</v>
      </c>
    </row>
    <row r="9" spans="1:11" ht="19.5" customHeight="1" thickBot="1">
      <c r="A9" s="2111"/>
      <c r="B9" s="2111"/>
      <c r="C9" s="2112"/>
      <c r="D9" s="2112"/>
      <c r="E9" s="2113"/>
      <c r="F9" s="2114"/>
      <c r="G9" s="2114"/>
      <c r="H9" s="2112"/>
      <c r="I9" s="2112"/>
      <c r="J9" s="2115"/>
      <c r="K9" s="136"/>
    </row>
    <row r="10" spans="1:11" ht="20.100000000000001" customHeight="1" thickBot="1">
      <c r="A10" s="137" t="s">
        <v>49</v>
      </c>
      <c r="B10" s="138" t="s">
        <v>50</v>
      </c>
      <c r="C10" s="642">
        <f>'1.'!B88</f>
        <v>670402000</v>
      </c>
      <c r="D10" s="642">
        <f>'1.'!C88</f>
        <v>887456000</v>
      </c>
      <c r="E10" s="642">
        <f>'1.'!D88</f>
        <v>864630000</v>
      </c>
      <c r="F10" s="643" t="s">
        <v>49</v>
      </c>
      <c r="G10" s="642" t="s">
        <v>147</v>
      </c>
      <c r="H10" s="644">
        <f>'4.'!T10</f>
        <v>780301000</v>
      </c>
      <c r="I10" s="644">
        <f>'4.'!U10</f>
        <v>862713798</v>
      </c>
      <c r="J10" s="644">
        <f>'4.'!V10</f>
        <v>846688807</v>
      </c>
    </row>
    <row r="11" spans="1:11" ht="20.100000000000001" customHeight="1" thickBot="1">
      <c r="A11" s="137" t="s">
        <v>51</v>
      </c>
      <c r="B11" s="133" t="s">
        <v>54</v>
      </c>
      <c r="C11" s="645">
        <f>'1.'!B111</f>
        <v>1350500000</v>
      </c>
      <c r="D11" s="645">
        <f>'1.'!C111</f>
        <v>1226439000</v>
      </c>
      <c r="E11" s="645">
        <f>'1.'!D111</f>
        <v>1180911000</v>
      </c>
      <c r="F11" s="643" t="s">
        <v>51</v>
      </c>
      <c r="G11" s="645" t="s">
        <v>148</v>
      </c>
      <c r="H11" s="642">
        <f>'4.'!T11</f>
        <v>105948000</v>
      </c>
      <c r="I11" s="642">
        <f>'4.'!U11</f>
        <v>118155880</v>
      </c>
      <c r="J11" s="642">
        <f>'4.'!V11</f>
        <v>117505688</v>
      </c>
    </row>
    <row r="12" spans="1:11" ht="20.100000000000001" customHeight="1" thickBot="1">
      <c r="A12" s="137" t="s">
        <v>53</v>
      </c>
      <c r="B12" s="142" t="s">
        <v>149</v>
      </c>
      <c r="C12" s="645">
        <f>'1.'!B126</f>
        <v>342398000</v>
      </c>
      <c r="D12" s="645">
        <f>'1.'!C126</f>
        <v>357701000</v>
      </c>
      <c r="E12" s="645">
        <f>'1.'!D126</f>
        <v>432174387</v>
      </c>
      <c r="F12" s="643" t="s">
        <v>53</v>
      </c>
      <c r="G12" s="646" t="s">
        <v>150</v>
      </c>
      <c r="H12" s="642">
        <f>'4.'!T12</f>
        <v>774693000</v>
      </c>
      <c r="I12" s="642">
        <f>'4.'!U12</f>
        <v>815767015</v>
      </c>
      <c r="J12" s="642">
        <f>'4.'!V12</f>
        <v>560405327</v>
      </c>
    </row>
    <row r="13" spans="1:11" ht="20.100000000000001" customHeight="1">
      <c r="A13" s="137" t="s">
        <v>55</v>
      </c>
      <c r="B13" s="141" t="s">
        <v>61</v>
      </c>
      <c r="C13" s="645">
        <f>'1.'!B138</f>
        <v>0</v>
      </c>
      <c r="D13" s="645">
        <f>'1.'!C138</f>
        <v>0</v>
      </c>
      <c r="E13" s="645">
        <f>'1.'!D138</f>
        <v>969000</v>
      </c>
      <c r="F13" s="643" t="s">
        <v>55</v>
      </c>
      <c r="G13" s="645" t="s">
        <v>151</v>
      </c>
      <c r="H13" s="642">
        <f>'4.'!T13</f>
        <v>44073000</v>
      </c>
      <c r="I13" s="642">
        <f>'4.'!U13</f>
        <v>43873000</v>
      </c>
      <c r="J13" s="642">
        <f>'4.'!V13</f>
        <v>40748000</v>
      </c>
    </row>
    <row r="14" spans="1:11" ht="20.100000000000001" customHeight="1">
      <c r="A14" s="139"/>
      <c r="B14" s="141"/>
      <c r="C14" s="645"/>
      <c r="D14" s="645"/>
      <c r="E14" s="647"/>
      <c r="F14" s="643" t="s">
        <v>58</v>
      </c>
      <c r="G14" s="645" t="s">
        <v>93</v>
      </c>
      <c r="H14" s="642">
        <f>'4.'!T14</f>
        <v>504785000</v>
      </c>
      <c r="I14" s="642">
        <f>'4.'!U14</f>
        <v>549509000</v>
      </c>
      <c r="J14" s="642">
        <f>'4.'!V14</f>
        <v>549291000</v>
      </c>
    </row>
    <row r="15" spans="1:11" ht="20.100000000000001" customHeight="1">
      <c r="A15" s="140"/>
      <c r="B15" s="141"/>
      <c r="C15" s="648"/>
      <c r="D15" s="648"/>
      <c r="E15" s="649"/>
      <c r="F15" s="643" t="s">
        <v>60</v>
      </c>
      <c r="G15" s="646" t="s">
        <v>152</v>
      </c>
      <c r="H15" s="642">
        <f>'4.'!T15+'4.'!T16</f>
        <v>404088000</v>
      </c>
      <c r="I15" s="642">
        <f>'4.'!U15+'4.'!U16</f>
        <v>900463000</v>
      </c>
      <c r="J15" s="642">
        <f>'4.'!V15+'4.'!V16</f>
        <v>0</v>
      </c>
    </row>
    <row r="16" spans="1:11" ht="20.100000000000001" customHeight="1" thickBot="1">
      <c r="A16" s="144"/>
      <c r="B16" s="145"/>
      <c r="C16" s="650"/>
      <c r="D16" s="651"/>
      <c r="E16" s="651"/>
      <c r="F16" s="652"/>
      <c r="G16" s="653"/>
      <c r="H16" s="642"/>
      <c r="I16" s="654"/>
      <c r="J16" s="655"/>
    </row>
    <row r="17" spans="1:10" ht="20.100000000000001" customHeight="1" thickBot="1">
      <c r="A17" s="2117" t="s">
        <v>153</v>
      </c>
      <c r="B17" s="2117"/>
      <c r="C17" s="656">
        <f>SUM(C10:C16)</f>
        <v>2363300000</v>
      </c>
      <c r="D17" s="656">
        <f>SUM(D10:D16)</f>
        <v>2471596000</v>
      </c>
      <c r="E17" s="657">
        <f>SUM(E10:E16)</f>
        <v>2478684387</v>
      </c>
      <c r="F17" s="2118" t="s">
        <v>154</v>
      </c>
      <c r="G17" s="2118"/>
      <c r="H17" s="656">
        <f>SUM(H10:H15)</f>
        <v>2613888000</v>
      </c>
      <c r="I17" s="656">
        <f>SUM(I10:I15)</f>
        <v>3290481693</v>
      </c>
      <c r="J17" s="658">
        <f>SUM(J10:J15)</f>
        <v>2114638822</v>
      </c>
    </row>
    <row r="18" spans="1:10" ht="20.100000000000001" customHeight="1" thickBot="1">
      <c r="A18" s="480"/>
      <c r="B18" s="481"/>
      <c r="C18" s="659"/>
      <c r="D18" s="625"/>
      <c r="E18" s="657"/>
      <c r="F18" s="660"/>
      <c r="G18" s="661"/>
      <c r="H18" s="662"/>
      <c r="I18" s="663"/>
      <c r="J18" s="664"/>
    </row>
    <row r="19" spans="1:10" ht="29.25" customHeight="1" thickBot="1">
      <c r="A19" s="2117" t="s">
        <v>155</v>
      </c>
      <c r="B19" s="2117"/>
      <c r="C19" s="659">
        <f>C17-H17</f>
        <v>-250588000</v>
      </c>
      <c r="D19" s="659">
        <f>D17-I17</f>
        <v>-818885693</v>
      </c>
      <c r="E19" s="665">
        <f>E17-J17</f>
        <v>364045565</v>
      </c>
      <c r="F19" s="660"/>
      <c r="G19" s="661"/>
      <c r="H19" s="666"/>
      <c r="I19" s="667"/>
      <c r="J19" s="668"/>
    </row>
    <row r="20" spans="1:10">
      <c r="A20" s="133"/>
      <c r="B20" s="133"/>
      <c r="C20" s="669"/>
      <c r="D20" s="669"/>
      <c r="E20" s="669"/>
      <c r="F20" s="639"/>
      <c r="G20" s="489"/>
      <c r="H20" s="489"/>
      <c r="I20" s="489"/>
      <c r="J20" s="489"/>
    </row>
    <row r="21" spans="1:10">
      <c r="A21" s="2108"/>
      <c r="B21" s="2108"/>
      <c r="C21" s="2108"/>
      <c r="D21" s="641"/>
      <c r="E21" s="641"/>
      <c r="F21" s="489"/>
      <c r="G21" s="489"/>
      <c r="H21" s="489"/>
      <c r="I21" s="489"/>
      <c r="J21" s="489"/>
    </row>
    <row r="22" spans="1:10" ht="18.75">
      <c r="A22" s="2109" t="s">
        <v>2239</v>
      </c>
      <c r="B22" s="2109"/>
      <c r="C22" s="2109"/>
      <c r="D22" s="2109"/>
      <c r="E22" s="2109"/>
      <c r="F22" s="2109"/>
      <c r="G22" s="2109"/>
      <c r="H22" s="2109"/>
      <c r="I22" s="2109"/>
      <c r="J22" s="2109"/>
    </row>
    <row r="23" spans="1:10" ht="18.75">
      <c r="A23" s="2109" t="s">
        <v>2242</v>
      </c>
      <c r="B23" s="2109"/>
      <c r="C23" s="2109"/>
      <c r="D23" s="2109"/>
      <c r="E23" s="2109"/>
      <c r="F23" s="2109"/>
      <c r="G23" s="2109"/>
      <c r="H23" s="2109"/>
      <c r="I23" s="2109"/>
      <c r="J23" s="2109"/>
    </row>
    <row r="24" spans="1:10" ht="18.75">
      <c r="A24" s="2109" t="s">
        <v>2241</v>
      </c>
      <c r="B24" s="2109"/>
      <c r="C24" s="2109"/>
      <c r="D24" s="2109"/>
      <c r="E24" s="2109"/>
      <c r="F24" s="2109"/>
      <c r="G24" s="2109"/>
      <c r="H24" s="2109"/>
      <c r="I24" s="2109"/>
      <c r="J24" s="2109"/>
    </row>
    <row r="25" spans="1:10">
      <c r="A25" s="133"/>
      <c r="B25" s="133"/>
      <c r="C25" s="639"/>
      <c r="D25" s="639"/>
      <c r="E25" s="639"/>
      <c r="F25" s="489"/>
      <c r="G25" s="489"/>
      <c r="H25" s="489"/>
      <c r="I25" s="489"/>
      <c r="J25" s="489"/>
    </row>
    <row r="26" spans="1:10">
      <c r="A26" s="120"/>
      <c r="B26" s="134"/>
      <c r="C26" s="640"/>
      <c r="D26" s="640"/>
      <c r="E26" s="640"/>
      <c r="F26" s="489"/>
      <c r="G26" s="489"/>
      <c r="H26" s="489"/>
      <c r="I26" s="2110" t="s">
        <v>38</v>
      </c>
      <c r="J26" s="2110"/>
    </row>
    <row r="27" spans="1:10" ht="12.75" customHeight="1">
      <c r="A27" s="2111" t="s">
        <v>156</v>
      </c>
      <c r="B27" s="2111"/>
      <c r="C27" s="2112" t="s">
        <v>46</v>
      </c>
      <c r="D27" s="2112" t="s">
        <v>47</v>
      </c>
      <c r="E27" s="2113" t="s">
        <v>48</v>
      </c>
      <c r="F27" s="2114" t="s">
        <v>157</v>
      </c>
      <c r="G27" s="2114"/>
      <c r="H27" s="2112" t="s">
        <v>46</v>
      </c>
      <c r="I27" s="2112" t="s">
        <v>47</v>
      </c>
      <c r="J27" s="2115" t="s">
        <v>48</v>
      </c>
    </row>
    <row r="28" spans="1:10" ht="19.5" customHeight="1" thickBot="1">
      <c r="A28" s="2111"/>
      <c r="B28" s="2111"/>
      <c r="C28" s="2112"/>
      <c r="D28" s="2112"/>
      <c r="E28" s="2113"/>
      <c r="F28" s="2114"/>
      <c r="G28" s="2114"/>
      <c r="H28" s="2112"/>
      <c r="I28" s="2112"/>
      <c r="J28" s="2115"/>
    </row>
    <row r="29" spans="1:10" s="148" customFormat="1" ht="38.25" customHeight="1">
      <c r="A29" s="146" t="s">
        <v>49</v>
      </c>
      <c r="B29" s="147" t="s">
        <v>158</v>
      </c>
      <c r="C29" s="670">
        <f>'1.'!B94</f>
        <v>554997000</v>
      </c>
      <c r="D29" s="670">
        <f>'1.'!C94</f>
        <v>555838000</v>
      </c>
      <c r="E29" s="670">
        <f>'1.'!D94</f>
        <v>161740000</v>
      </c>
      <c r="F29" s="671" t="s">
        <v>49</v>
      </c>
      <c r="G29" s="672" t="s">
        <v>159</v>
      </c>
      <c r="H29" s="673">
        <f>'4.'!T20</f>
        <v>2678503000</v>
      </c>
      <c r="I29" s="673">
        <f>'4.'!U20</f>
        <v>2808712000</v>
      </c>
      <c r="J29" s="673">
        <f>'4.'!V20</f>
        <v>584290786.13999999</v>
      </c>
    </row>
    <row r="30" spans="1:10" ht="20.100000000000001" customHeight="1">
      <c r="A30" s="149" t="s">
        <v>51</v>
      </c>
      <c r="B30" s="141" t="s">
        <v>59</v>
      </c>
      <c r="C30" s="674">
        <f>'1.'!B132</f>
        <v>3000000</v>
      </c>
      <c r="D30" s="674">
        <f>'1.'!C132</f>
        <v>3000000</v>
      </c>
      <c r="E30" s="674">
        <f>'1.'!D132</f>
        <v>7730000</v>
      </c>
      <c r="F30" s="675" t="s">
        <v>51</v>
      </c>
      <c r="G30" s="645" t="s">
        <v>160</v>
      </c>
      <c r="H30" s="673">
        <f>'4.'!T21</f>
        <v>116907000</v>
      </c>
      <c r="I30" s="673">
        <f>'4.'!U21</f>
        <v>158667000</v>
      </c>
      <c r="J30" s="673">
        <f>'4.'!V21</f>
        <v>94949248.890000001</v>
      </c>
    </row>
    <row r="31" spans="1:10" ht="20.100000000000001" customHeight="1">
      <c r="A31" s="149" t="s">
        <v>53</v>
      </c>
      <c r="B31" s="141" t="s">
        <v>63</v>
      </c>
      <c r="C31" s="674">
        <f>'1.'!B143</f>
        <v>3500000</v>
      </c>
      <c r="D31" s="674">
        <f>'1.'!C143</f>
        <v>3500000</v>
      </c>
      <c r="E31" s="674">
        <f>'1.'!D143</f>
        <v>2753000</v>
      </c>
      <c r="F31" s="675" t="s">
        <v>53</v>
      </c>
      <c r="G31" s="627" t="s">
        <v>99</v>
      </c>
      <c r="H31" s="673">
        <f>'4.'!T22</f>
        <v>10000000</v>
      </c>
      <c r="I31" s="673">
        <f>'4.'!U22</f>
        <v>10000000</v>
      </c>
      <c r="J31" s="673">
        <f>'4.'!V22</f>
        <v>3000000</v>
      </c>
    </row>
    <row r="32" spans="1:10" ht="20.100000000000001" customHeight="1">
      <c r="A32" s="149"/>
      <c r="B32" s="143"/>
      <c r="C32" s="676"/>
      <c r="D32" s="676"/>
      <c r="E32" s="677"/>
      <c r="F32" s="675" t="s">
        <v>55</v>
      </c>
      <c r="G32" s="646" t="s">
        <v>101</v>
      </c>
      <c r="H32" s="673">
        <f>'4.'!T23</f>
        <v>20665000</v>
      </c>
      <c r="I32" s="673">
        <f>'4.'!U23</f>
        <v>20665000</v>
      </c>
      <c r="J32" s="673">
        <f>'4.'!V23</f>
        <v>0</v>
      </c>
    </row>
    <row r="33" spans="1:10" ht="20.100000000000001" customHeight="1">
      <c r="A33" s="150"/>
      <c r="B33" s="151"/>
      <c r="C33" s="678"/>
      <c r="D33" s="679"/>
      <c r="E33" s="680"/>
      <c r="F33" s="681"/>
      <c r="G33" s="682"/>
      <c r="H33" s="654"/>
      <c r="I33" s="683"/>
      <c r="J33" s="684"/>
    </row>
    <row r="34" spans="1:10" ht="20.100000000000001" customHeight="1">
      <c r="A34" s="152"/>
      <c r="B34" s="153"/>
      <c r="C34" s="685"/>
      <c r="D34" s="686"/>
      <c r="E34" s="687"/>
      <c r="F34" s="688"/>
      <c r="G34" s="624"/>
      <c r="H34" s="666"/>
      <c r="I34" s="683"/>
      <c r="J34" s="668"/>
    </row>
    <row r="35" spans="1:10" ht="20.100000000000001" customHeight="1">
      <c r="A35" s="2117" t="s">
        <v>161</v>
      </c>
      <c r="B35" s="2117"/>
      <c r="C35" s="689">
        <f>SUM(C29:C32)</f>
        <v>561497000</v>
      </c>
      <c r="D35" s="689">
        <f>SUM(D29:D32)</f>
        <v>562338000</v>
      </c>
      <c r="E35" s="690">
        <f>SUM(E29:E32)</f>
        <v>172223000</v>
      </c>
      <c r="F35" s="2122" t="s">
        <v>162</v>
      </c>
      <c r="G35" s="2122"/>
      <c r="H35" s="656">
        <f>SUM(H29:H32)</f>
        <v>2826075000</v>
      </c>
      <c r="I35" s="656">
        <f>SUM(I29:I32)</f>
        <v>2998044000</v>
      </c>
      <c r="J35" s="658">
        <f>SUM(J29:J32)</f>
        <v>682240035.02999997</v>
      </c>
    </row>
    <row r="36" spans="1:10" ht="20.100000000000001" customHeight="1">
      <c r="A36" s="154"/>
      <c r="B36" s="155"/>
      <c r="C36" s="691"/>
      <c r="D36" s="692"/>
      <c r="E36" s="693"/>
      <c r="F36" s="694"/>
      <c r="G36" s="695"/>
      <c r="H36" s="696"/>
      <c r="I36" s="697"/>
      <c r="J36" s="698"/>
    </row>
    <row r="37" spans="1:10" ht="20.100000000000001" customHeight="1">
      <c r="A37" s="2123" t="s">
        <v>163</v>
      </c>
      <c r="B37" s="2123"/>
      <c r="C37" s="676">
        <f>C35-H35</f>
        <v>-2264578000</v>
      </c>
      <c r="D37" s="676">
        <f>D35-I35</f>
        <v>-2435706000</v>
      </c>
      <c r="E37" s="677">
        <f>E35-J35</f>
        <v>-510017035.02999997</v>
      </c>
      <c r="F37" s="675"/>
      <c r="G37" s="627"/>
      <c r="H37" s="648">
        <v>0</v>
      </c>
      <c r="I37" s="649"/>
      <c r="J37" s="699"/>
    </row>
    <row r="38" spans="1:10" ht="20.100000000000001" customHeight="1">
      <c r="A38" s="156"/>
      <c r="B38" s="157"/>
      <c r="C38" s="700"/>
      <c r="D38" s="701"/>
      <c r="E38" s="702"/>
      <c r="F38" s="703"/>
      <c r="G38" s="704"/>
      <c r="H38" s="654"/>
      <c r="I38" s="705"/>
      <c r="J38" s="684"/>
    </row>
    <row r="39" spans="1:10" ht="20.100000000000001" customHeight="1">
      <c r="A39" s="2124" t="s">
        <v>64</v>
      </c>
      <c r="B39" s="2124"/>
      <c r="C39" s="656">
        <f>C17+C35</f>
        <v>2924797000</v>
      </c>
      <c r="D39" s="656">
        <f>D17+D35</f>
        <v>3033934000</v>
      </c>
      <c r="E39" s="657">
        <f>E17+E35</f>
        <v>2650907387</v>
      </c>
      <c r="F39" s="2122" t="s">
        <v>164</v>
      </c>
      <c r="G39" s="2122"/>
      <c r="H39" s="656">
        <f>H17+H35</f>
        <v>5439963000</v>
      </c>
      <c r="I39" s="656">
        <f>I17+I35+I37</f>
        <v>6288525693</v>
      </c>
      <c r="J39" s="706">
        <f>J17+J35+J37</f>
        <v>2796878857.0299997</v>
      </c>
    </row>
    <row r="40" spans="1:10" ht="20.100000000000001" customHeight="1">
      <c r="A40" s="158" t="s">
        <v>49</v>
      </c>
      <c r="B40" s="159" t="s">
        <v>165</v>
      </c>
      <c r="C40" s="707">
        <f>C39-H39</f>
        <v>-2515166000</v>
      </c>
      <c r="D40" s="707">
        <f>D39-I39</f>
        <v>-3254591693</v>
      </c>
      <c r="E40" s="708">
        <f>E39-J39</f>
        <v>-145971470.02999973</v>
      </c>
      <c r="F40" s="709"/>
      <c r="G40" s="710"/>
      <c r="H40" s="696"/>
      <c r="I40" s="697"/>
      <c r="J40" s="698"/>
    </row>
    <row r="41" spans="1:10" ht="20.100000000000001" customHeight="1">
      <c r="A41" s="160" t="s">
        <v>51</v>
      </c>
      <c r="B41" s="1" t="s">
        <v>66</v>
      </c>
      <c r="C41" s="676">
        <f>'1.'!B151</f>
        <v>2536320000</v>
      </c>
      <c r="D41" s="676">
        <f>'1.'!C151</f>
        <v>3547593000</v>
      </c>
      <c r="E41" s="676">
        <f>'1.'!D151</f>
        <v>3547593000</v>
      </c>
      <c r="F41" s="675" t="s">
        <v>49</v>
      </c>
      <c r="G41" s="627" t="s">
        <v>104</v>
      </c>
      <c r="H41" s="648">
        <f>'4.'!T25</f>
        <v>21153870</v>
      </c>
      <c r="I41" s="648">
        <f>'4.'!U25</f>
        <v>293000938</v>
      </c>
      <c r="J41" s="648">
        <f>'4.'!V25</f>
        <v>293000938</v>
      </c>
    </row>
    <row r="42" spans="1:10" ht="20.100000000000001" customHeight="1">
      <c r="A42" s="2119"/>
      <c r="B42" s="2119"/>
      <c r="C42" s="711"/>
      <c r="D42" s="712"/>
      <c r="E42" s="712"/>
      <c r="F42" s="703"/>
      <c r="G42" s="682"/>
      <c r="H42" s="654"/>
      <c r="I42" s="705"/>
      <c r="J42" s="684"/>
    </row>
    <row r="43" spans="1:10" s="19" customFormat="1" ht="32.25" customHeight="1">
      <c r="A43" s="2120" t="s">
        <v>67</v>
      </c>
      <c r="B43" s="2120"/>
      <c r="C43" s="713">
        <f>C39+C41</f>
        <v>5461117000</v>
      </c>
      <c r="D43" s="713">
        <f>D39+D41</f>
        <v>6581527000</v>
      </c>
      <c r="E43" s="714">
        <f>E39+E41</f>
        <v>6198500387</v>
      </c>
      <c r="F43" s="2121" t="s">
        <v>87</v>
      </c>
      <c r="G43" s="2121"/>
      <c r="H43" s="713">
        <f>SUM(H39,H41)</f>
        <v>5461116870</v>
      </c>
      <c r="I43" s="713">
        <f>SUM(I39,I41)</f>
        <v>6581526631</v>
      </c>
      <c r="J43" s="715">
        <f>SUM(J39,J41)</f>
        <v>3089879795.0299997</v>
      </c>
    </row>
    <row r="44" spans="1:10">
      <c r="A44" s="161"/>
      <c r="B44"/>
      <c r="C44" s="489"/>
      <c r="D44" s="489"/>
      <c r="E44" s="489"/>
      <c r="F44" s="639"/>
    </row>
    <row r="45" spans="1:10">
      <c r="A45" s="161"/>
      <c r="B45"/>
      <c r="C45" s="489"/>
      <c r="D45" s="489"/>
      <c r="E45" s="489"/>
      <c r="F45" s="639"/>
    </row>
    <row r="46" spans="1:10">
      <c r="A46" s="161"/>
      <c r="B46"/>
      <c r="C46" s="639"/>
      <c r="D46" s="639"/>
      <c r="E46" s="639"/>
      <c r="F46" s="639"/>
    </row>
    <row r="47" spans="1:10">
      <c r="A47" s="161"/>
      <c r="B47"/>
      <c r="C47" s="639"/>
      <c r="D47" s="639"/>
      <c r="E47" s="639"/>
      <c r="F47" s="639"/>
    </row>
    <row r="48" spans="1:10">
      <c r="A48" s="161"/>
      <c r="B48"/>
      <c r="C48" s="716"/>
      <c r="D48" s="716"/>
      <c r="E48" s="716"/>
      <c r="F48" s="639"/>
    </row>
    <row r="49" spans="1:6">
      <c r="A49" s="161"/>
      <c r="B49"/>
      <c r="C49" s="716"/>
      <c r="D49" s="716"/>
      <c r="E49" s="716"/>
      <c r="F49" s="639"/>
    </row>
    <row r="50" spans="1:6">
      <c r="A50" s="161"/>
      <c r="B50"/>
      <c r="C50" s="489"/>
      <c r="D50" s="489"/>
      <c r="E50" s="489"/>
      <c r="F50" s="639"/>
    </row>
    <row r="51" spans="1:6">
      <c r="A51" s="161"/>
      <c r="B51"/>
      <c r="C51" s="716"/>
      <c r="D51" s="716"/>
      <c r="E51" s="716"/>
      <c r="F51" s="639"/>
    </row>
    <row r="52" spans="1:6">
      <c r="A52" s="161"/>
      <c r="B52"/>
      <c r="C52" s="716"/>
      <c r="D52" s="716"/>
      <c r="E52" s="716"/>
      <c r="F52" s="639"/>
    </row>
    <row r="53" spans="1:6">
      <c r="A53" s="161"/>
      <c r="B53"/>
      <c r="C53" s="716"/>
      <c r="D53" s="716"/>
      <c r="E53" s="716"/>
      <c r="F53" s="639"/>
    </row>
    <row r="54" spans="1:6">
      <c r="A54" s="161"/>
      <c r="B54"/>
      <c r="C54" s="716"/>
      <c r="D54" s="716"/>
      <c r="E54" s="716"/>
      <c r="F54" s="639"/>
    </row>
    <row r="55" spans="1:6">
      <c r="A55"/>
      <c r="B55"/>
      <c r="C55" s="488"/>
      <c r="D55" s="488"/>
      <c r="E55" s="488"/>
      <c r="F55" s="639"/>
    </row>
    <row r="56" spans="1:6">
      <c r="A56"/>
      <c r="B56"/>
      <c r="C56" s="489"/>
      <c r="D56" s="489"/>
      <c r="E56" s="489"/>
      <c r="F56" s="639"/>
    </row>
    <row r="57" spans="1:6">
      <c r="A57"/>
      <c r="B57"/>
      <c r="C57" s="489"/>
      <c r="D57" s="489"/>
      <c r="E57" s="489"/>
      <c r="F57" s="639"/>
    </row>
    <row r="58" spans="1:6">
      <c r="A58"/>
      <c r="B58"/>
      <c r="C58" s="488"/>
      <c r="D58" s="488"/>
      <c r="E58" s="488"/>
      <c r="F58" s="639"/>
    </row>
    <row r="59" spans="1:6">
      <c r="A59" s="1" t="s">
        <v>166</v>
      </c>
      <c r="B59" s="9"/>
      <c r="F59" s="639"/>
    </row>
  </sheetData>
  <mergeCells count="36">
    <mergeCell ref="A42:B42"/>
    <mergeCell ref="A43:B43"/>
    <mergeCell ref="F43:G43"/>
    <mergeCell ref="A35:B35"/>
    <mergeCell ref="F35:G35"/>
    <mergeCell ref="A37:B37"/>
    <mergeCell ref="A39:B39"/>
    <mergeCell ref="F39:G39"/>
    <mergeCell ref="A24:J24"/>
    <mergeCell ref="I26:J26"/>
    <mergeCell ref="A27:B28"/>
    <mergeCell ref="C27:C28"/>
    <mergeCell ref="D27:D28"/>
    <mergeCell ref="E27:E28"/>
    <mergeCell ref="F27:G28"/>
    <mergeCell ref="H27:H28"/>
    <mergeCell ref="I27:I28"/>
    <mergeCell ref="J27:J28"/>
    <mergeCell ref="A17:B17"/>
    <mergeCell ref="F17:G17"/>
    <mergeCell ref="A19:B19"/>
    <mergeCell ref="A21:C21"/>
    <mergeCell ref="A23:J23"/>
    <mergeCell ref="A22:J22"/>
    <mergeCell ref="A3:J3"/>
    <mergeCell ref="A5:J5"/>
    <mergeCell ref="I7:J7"/>
    <mergeCell ref="A8:B9"/>
    <mergeCell ref="C8:C9"/>
    <mergeCell ref="D8:D9"/>
    <mergeCell ref="E8:E9"/>
    <mergeCell ref="F8:G9"/>
    <mergeCell ref="H8:H9"/>
    <mergeCell ref="I8:I9"/>
    <mergeCell ref="J8:J9"/>
    <mergeCell ref="A4:J4"/>
  </mergeCells>
  <printOptions headings="1"/>
  <pageMargins left="0.31496062992125984" right="0.31496062992125984" top="0.74803149606299213" bottom="0.35433070866141736" header="0.31496062992125984" footer="0.51181102362204722"/>
  <pageSetup paperSize="9" scale="90" firstPageNumber="0" orientation="landscape" r:id="rId1"/>
  <headerFooter>
    <oddHeader>&amp;R&amp;A melléklet a /2026.(V.28.) önkormányzati rendelethez/ &amp;P.oldal</oddHeader>
  </headerFooter>
  <rowBreaks count="1" manualBreakCount="1">
    <brk id="22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24"/>
  <sheetViews>
    <sheetView zoomScaleNormal="100" workbookViewId="0">
      <selection activeCell="A2" sqref="A2:F2"/>
    </sheetView>
  </sheetViews>
  <sheetFormatPr defaultRowHeight="15.75"/>
  <cols>
    <col min="1" max="1" width="6" style="434" customWidth="1"/>
    <col min="2" max="2" width="72.5703125" style="431" customWidth="1"/>
    <col min="3" max="3" width="14.28515625" style="435" customWidth="1"/>
    <col min="4" max="4" width="14.140625" style="435" customWidth="1"/>
    <col min="5" max="5" width="14.85546875" style="435" customWidth="1"/>
    <col min="6" max="6" width="16.140625" style="435" customWidth="1"/>
    <col min="7" max="7" width="15.28515625" style="435" customWidth="1"/>
    <col min="8" max="28" width="9.140625" style="431"/>
    <col min="29" max="30" width="0" style="431" hidden="1" customWidth="1"/>
    <col min="31" max="256" width="9.140625" style="431"/>
    <col min="257" max="257" width="6" style="431" customWidth="1"/>
    <col min="258" max="258" width="72.5703125" style="431" customWidth="1"/>
    <col min="259" max="259" width="14.28515625" style="431" customWidth="1"/>
    <col min="260" max="260" width="14.140625" style="431" customWidth="1"/>
    <col min="261" max="261" width="14.85546875" style="431" customWidth="1"/>
    <col min="262" max="262" width="16.140625" style="431" customWidth="1"/>
    <col min="263" max="263" width="27.5703125" style="431" customWidth="1"/>
    <col min="264" max="284" width="9.140625" style="431"/>
    <col min="285" max="286" width="0" style="431" hidden="1" customWidth="1"/>
    <col min="287" max="512" width="9.140625" style="431"/>
    <col min="513" max="513" width="6" style="431" customWidth="1"/>
    <col min="514" max="514" width="72.5703125" style="431" customWidth="1"/>
    <col min="515" max="515" width="14.28515625" style="431" customWidth="1"/>
    <col min="516" max="516" width="14.140625" style="431" customWidth="1"/>
    <col min="517" max="517" width="14.85546875" style="431" customWidth="1"/>
    <col min="518" max="518" width="16.140625" style="431" customWidth="1"/>
    <col min="519" max="519" width="27.5703125" style="431" customWidth="1"/>
    <col min="520" max="540" width="9.140625" style="431"/>
    <col min="541" max="542" width="0" style="431" hidden="1" customWidth="1"/>
    <col min="543" max="768" width="9.140625" style="431"/>
    <col min="769" max="769" width="6" style="431" customWidth="1"/>
    <col min="770" max="770" width="72.5703125" style="431" customWidth="1"/>
    <col min="771" max="771" width="14.28515625" style="431" customWidth="1"/>
    <col min="772" max="772" width="14.140625" style="431" customWidth="1"/>
    <col min="773" max="773" width="14.85546875" style="431" customWidth="1"/>
    <col min="774" max="774" width="16.140625" style="431" customWidth="1"/>
    <col min="775" max="775" width="27.5703125" style="431" customWidth="1"/>
    <col min="776" max="796" width="9.140625" style="431"/>
    <col min="797" max="798" width="0" style="431" hidden="1" customWidth="1"/>
    <col min="799" max="1024" width="9.140625" style="431"/>
    <col min="1025" max="1025" width="6" style="431" customWidth="1"/>
    <col min="1026" max="1026" width="72.5703125" style="431" customWidth="1"/>
    <col min="1027" max="1027" width="14.28515625" style="431" customWidth="1"/>
    <col min="1028" max="1028" width="14.140625" style="431" customWidth="1"/>
    <col min="1029" max="1029" width="14.85546875" style="431" customWidth="1"/>
    <col min="1030" max="1030" width="16.140625" style="431" customWidth="1"/>
    <col min="1031" max="1031" width="27.5703125" style="431" customWidth="1"/>
    <col min="1032" max="1052" width="9.140625" style="431"/>
    <col min="1053" max="1054" width="0" style="431" hidden="1" customWidth="1"/>
    <col min="1055" max="1280" width="9.140625" style="431"/>
    <col min="1281" max="1281" width="6" style="431" customWidth="1"/>
    <col min="1282" max="1282" width="72.5703125" style="431" customWidth="1"/>
    <col min="1283" max="1283" width="14.28515625" style="431" customWidth="1"/>
    <col min="1284" max="1284" width="14.140625" style="431" customWidth="1"/>
    <col min="1285" max="1285" width="14.85546875" style="431" customWidth="1"/>
    <col min="1286" max="1286" width="16.140625" style="431" customWidth="1"/>
    <col min="1287" max="1287" width="27.5703125" style="431" customWidth="1"/>
    <col min="1288" max="1308" width="9.140625" style="431"/>
    <col min="1309" max="1310" width="0" style="431" hidden="1" customWidth="1"/>
    <col min="1311" max="1536" width="9.140625" style="431"/>
    <col min="1537" max="1537" width="6" style="431" customWidth="1"/>
    <col min="1538" max="1538" width="72.5703125" style="431" customWidth="1"/>
    <col min="1539" max="1539" width="14.28515625" style="431" customWidth="1"/>
    <col min="1540" max="1540" width="14.140625" style="431" customWidth="1"/>
    <col min="1541" max="1541" width="14.85546875" style="431" customWidth="1"/>
    <col min="1542" max="1542" width="16.140625" style="431" customWidth="1"/>
    <col min="1543" max="1543" width="27.5703125" style="431" customWidth="1"/>
    <col min="1544" max="1564" width="9.140625" style="431"/>
    <col min="1565" max="1566" width="0" style="431" hidden="1" customWidth="1"/>
    <col min="1567" max="1792" width="9.140625" style="431"/>
    <col min="1793" max="1793" width="6" style="431" customWidth="1"/>
    <col min="1794" max="1794" width="72.5703125" style="431" customWidth="1"/>
    <col min="1795" max="1795" width="14.28515625" style="431" customWidth="1"/>
    <col min="1796" max="1796" width="14.140625" style="431" customWidth="1"/>
    <col min="1797" max="1797" width="14.85546875" style="431" customWidth="1"/>
    <col min="1798" max="1798" width="16.140625" style="431" customWidth="1"/>
    <col min="1799" max="1799" width="27.5703125" style="431" customWidth="1"/>
    <col min="1800" max="1820" width="9.140625" style="431"/>
    <col min="1821" max="1822" width="0" style="431" hidden="1" customWidth="1"/>
    <col min="1823" max="2048" width="9.140625" style="431"/>
    <col min="2049" max="2049" width="6" style="431" customWidth="1"/>
    <col min="2050" max="2050" width="72.5703125" style="431" customWidth="1"/>
    <col min="2051" max="2051" width="14.28515625" style="431" customWidth="1"/>
    <col min="2052" max="2052" width="14.140625" style="431" customWidth="1"/>
    <col min="2053" max="2053" width="14.85546875" style="431" customWidth="1"/>
    <col min="2054" max="2054" width="16.140625" style="431" customWidth="1"/>
    <col min="2055" max="2055" width="27.5703125" style="431" customWidth="1"/>
    <col min="2056" max="2076" width="9.140625" style="431"/>
    <col min="2077" max="2078" width="0" style="431" hidden="1" customWidth="1"/>
    <col min="2079" max="2304" width="9.140625" style="431"/>
    <col min="2305" max="2305" width="6" style="431" customWidth="1"/>
    <col min="2306" max="2306" width="72.5703125" style="431" customWidth="1"/>
    <col min="2307" max="2307" width="14.28515625" style="431" customWidth="1"/>
    <col min="2308" max="2308" width="14.140625" style="431" customWidth="1"/>
    <col min="2309" max="2309" width="14.85546875" style="431" customWidth="1"/>
    <col min="2310" max="2310" width="16.140625" style="431" customWidth="1"/>
    <col min="2311" max="2311" width="27.5703125" style="431" customWidth="1"/>
    <col min="2312" max="2332" width="9.140625" style="431"/>
    <col min="2333" max="2334" width="0" style="431" hidden="1" customWidth="1"/>
    <col min="2335" max="2560" width="9.140625" style="431"/>
    <col min="2561" max="2561" width="6" style="431" customWidth="1"/>
    <col min="2562" max="2562" width="72.5703125" style="431" customWidth="1"/>
    <col min="2563" max="2563" width="14.28515625" style="431" customWidth="1"/>
    <col min="2564" max="2564" width="14.140625" style="431" customWidth="1"/>
    <col min="2565" max="2565" width="14.85546875" style="431" customWidth="1"/>
    <col min="2566" max="2566" width="16.140625" style="431" customWidth="1"/>
    <col min="2567" max="2567" width="27.5703125" style="431" customWidth="1"/>
    <col min="2568" max="2588" width="9.140625" style="431"/>
    <col min="2589" max="2590" width="0" style="431" hidden="1" customWidth="1"/>
    <col min="2591" max="2816" width="9.140625" style="431"/>
    <col min="2817" max="2817" width="6" style="431" customWidth="1"/>
    <col min="2818" max="2818" width="72.5703125" style="431" customWidth="1"/>
    <col min="2819" max="2819" width="14.28515625" style="431" customWidth="1"/>
    <col min="2820" max="2820" width="14.140625" style="431" customWidth="1"/>
    <col min="2821" max="2821" width="14.85546875" style="431" customWidth="1"/>
    <col min="2822" max="2822" width="16.140625" style="431" customWidth="1"/>
    <col min="2823" max="2823" width="27.5703125" style="431" customWidth="1"/>
    <col min="2824" max="2844" width="9.140625" style="431"/>
    <col min="2845" max="2846" width="0" style="431" hidden="1" customWidth="1"/>
    <col min="2847" max="3072" width="9.140625" style="431"/>
    <col min="3073" max="3073" width="6" style="431" customWidth="1"/>
    <col min="3074" max="3074" width="72.5703125" style="431" customWidth="1"/>
    <col min="3075" max="3075" width="14.28515625" style="431" customWidth="1"/>
    <col min="3076" max="3076" width="14.140625" style="431" customWidth="1"/>
    <col min="3077" max="3077" width="14.85546875" style="431" customWidth="1"/>
    <col min="3078" max="3078" width="16.140625" style="431" customWidth="1"/>
    <col min="3079" max="3079" width="27.5703125" style="431" customWidth="1"/>
    <col min="3080" max="3100" width="9.140625" style="431"/>
    <col min="3101" max="3102" width="0" style="431" hidden="1" customWidth="1"/>
    <col min="3103" max="3328" width="9.140625" style="431"/>
    <col min="3329" max="3329" width="6" style="431" customWidth="1"/>
    <col min="3330" max="3330" width="72.5703125" style="431" customWidth="1"/>
    <col min="3331" max="3331" width="14.28515625" style="431" customWidth="1"/>
    <col min="3332" max="3332" width="14.140625" style="431" customWidth="1"/>
    <col min="3333" max="3333" width="14.85546875" style="431" customWidth="1"/>
    <col min="3334" max="3334" width="16.140625" style="431" customWidth="1"/>
    <col min="3335" max="3335" width="27.5703125" style="431" customWidth="1"/>
    <col min="3336" max="3356" width="9.140625" style="431"/>
    <col min="3357" max="3358" width="0" style="431" hidden="1" customWidth="1"/>
    <col min="3359" max="3584" width="9.140625" style="431"/>
    <col min="3585" max="3585" width="6" style="431" customWidth="1"/>
    <col min="3586" max="3586" width="72.5703125" style="431" customWidth="1"/>
    <col min="3587" max="3587" width="14.28515625" style="431" customWidth="1"/>
    <col min="3588" max="3588" width="14.140625" style="431" customWidth="1"/>
    <col min="3589" max="3589" width="14.85546875" style="431" customWidth="1"/>
    <col min="3590" max="3590" width="16.140625" style="431" customWidth="1"/>
    <col min="3591" max="3591" width="27.5703125" style="431" customWidth="1"/>
    <col min="3592" max="3612" width="9.140625" style="431"/>
    <col min="3613" max="3614" width="0" style="431" hidden="1" customWidth="1"/>
    <col min="3615" max="3840" width="9.140625" style="431"/>
    <col min="3841" max="3841" width="6" style="431" customWidth="1"/>
    <col min="3842" max="3842" width="72.5703125" style="431" customWidth="1"/>
    <col min="3843" max="3843" width="14.28515625" style="431" customWidth="1"/>
    <col min="3844" max="3844" width="14.140625" style="431" customWidth="1"/>
    <col min="3845" max="3845" width="14.85546875" style="431" customWidth="1"/>
    <col min="3846" max="3846" width="16.140625" style="431" customWidth="1"/>
    <col min="3847" max="3847" width="27.5703125" style="431" customWidth="1"/>
    <col min="3848" max="3868" width="9.140625" style="431"/>
    <col min="3869" max="3870" width="0" style="431" hidden="1" customWidth="1"/>
    <col min="3871" max="4096" width="9.140625" style="431"/>
    <col min="4097" max="4097" width="6" style="431" customWidth="1"/>
    <col min="4098" max="4098" width="72.5703125" style="431" customWidth="1"/>
    <col min="4099" max="4099" width="14.28515625" style="431" customWidth="1"/>
    <col min="4100" max="4100" width="14.140625" style="431" customWidth="1"/>
    <col min="4101" max="4101" width="14.85546875" style="431" customWidth="1"/>
    <col min="4102" max="4102" width="16.140625" style="431" customWidth="1"/>
    <col min="4103" max="4103" width="27.5703125" style="431" customWidth="1"/>
    <col min="4104" max="4124" width="9.140625" style="431"/>
    <col min="4125" max="4126" width="0" style="431" hidden="1" customWidth="1"/>
    <col min="4127" max="4352" width="9.140625" style="431"/>
    <col min="4353" max="4353" width="6" style="431" customWidth="1"/>
    <col min="4354" max="4354" width="72.5703125" style="431" customWidth="1"/>
    <col min="4355" max="4355" width="14.28515625" style="431" customWidth="1"/>
    <col min="4356" max="4356" width="14.140625" style="431" customWidth="1"/>
    <col min="4357" max="4357" width="14.85546875" style="431" customWidth="1"/>
    <col min="4358" max="4358" width="16.140625" style="431" customWidth="1"/>
    <col min="4359" max="4359" width="27.5703125" style="431" customWidth="1"/>
    <col min="4360" max="4380" width="9.140625" style="431"/>
    <col min="4381" max="4382" width="0" style="431" hidden="1" customWidth="1"/>
    <col min="4383" max="4608" width="9.140625" style="431"/>
    <col min="4609" max="4609" width="6" style="431" customWidth="1"/>
    <col min="4610" max="4610" width="72.5703125" style="431" customWidth="1"/>
    <col min="4611" max="4611" width="14.28515625" style="431" customWidth="1"/>
    <col min="4612" max="4612" width="14.140625" style="431" customWidth="1"/>
    <col min="4613" max="4613" width="14.85546875" style="431" customWidth="1"/>
    <col min="4614" max="4614" width="16.140625" style="431" customWidth="1"/>
    <col min="4615" max="4615" width="27.5703125" style="431" customWidth="1"/>
    <col min="4616" max="4636" width="9.140625" style="431"/>
    <col min="4637" max="4638" width="0" style="431" hidden="1" customWidth="1"/>
    <col min="4639" max="4864" width="9.140625" style="431"/>
    <col min="4865" max="4865" width="6" style="431" customWidth="1"/>
    <col min="4866" max="4866" width="72.5703125" style="431" customWidth="1"/>
    <col min="4867" max="4867" width="14.28515625" style="431" customWidth="1"/>
    <col min="4868" max="4868" width="14.140625" style="431" customWidth="1"/>
    <col min="4869" max="4869" width="14.85546875" style="431" customWidth="1"/>
    <col min="4870" max="4870" width="16.140625" style="431" customWidth="1"/>
    <col min="4871" max="4871" width="27.5703125" style="431" customWidth="1"/>
    <col min="4872" max="4892" width="9.140625" style="431"/>
    <col min="4893" max="4894" width="0" style="431" hidden="1" customWidth="1"/>
    <col min="4895" max="5120" width="9.140625" style="431"/>
    <col min="5121" max="5121" width="6" style="431" customWidth="1"/>
    <col min="5122" max="5122" width="72.5703125" style="431" customWidth="1"/>
    <col min="5123" max="5123" width="14.28515625" style="431" customWidth="1"/>
    <col min="5124" max="5124" width="14.140625" style="431" customWidth="1"/>
    <col min="5125" max="5125" width="14.85546875" style="431" customWidth="1"/>
    <col min="5126" max="5126" width="16.140625" style="431" customWidth="1"/>
    <col min="5127" max="5127" width="27.5703125" style="431" customWidth="1"/>
    <col min="5128" max="5148" width="9.140625" style="431"/>
    <col min="5149" max="5150" width="0" style="431" hidden="1" customWidth="1"/>
    <col min="5151" max="5376" width="9.140625" style="431"/>
    <col min="5377" max="5377" width="6" style="431" customWidth="1"/>
    <col min="5378" max="5378" width="72.5703125" style="431" customWidth="1"/>
    <col min="5379" max="5379" width="14.28515625" style="431" customWidth="1"/>
    <col min="5380" max="5380" width="14.140625" style="431" customWidth="1"/>
    <col min="5381" max="5381" width="14.85546875" style="431" customWidth="1"/>
    <col min="5382" max="5382" width="16.140625" style="431" customWidth="1"/>
    <col min="5383" max="5383" width="27.5703125" style="431" customWidth="1"/>
    <col min="5384" max="5404" width="9.140625" style="431"/>
    <col min="5405" max="5406" width="0" style="431" hidden="1" customWidth="1"/>
    <col min="5407" max="5632" width="9.140625" style="431"/>
    <col min="5633" max="5633" width="6" style="431" customWidth="1"/>
    <col min="5634" max="5634" width="72.5703125" style="431" customWidth="1"/>
    <col min="5635" max="5635" width="14.28515625" style="431" customWidth="1"/>
    <col min="5636" max="5636" width="14.140625" style="431" customWidth="1"/>
    <col min="5637" max="5637" width="14.85546875" style="431" customWidth="1"/>
    <col min="5638" max="5638" width="16.140625" style="431" customWidth="1"/>
    <col min="5639" max="5639" width="27.5703125" style="431" customWidth="1"/>
    <col min="5640" max="5660" width="9.140625" style="431"/>
    <col min="5661" max="5662" width="0" style="431" hidden="1" customWidth="1"/>
    <col min="5663" max="5888" width="9.140625" style="431"/>
    <col min="5889" max="5889" width="6" style="431" customWidth="1"/>
    <col min="5890" max="5890" width="72.5703125" style="431" customWidth="1"/>
    <col min="5891" max="5891" width="14.28515625" style="431" customWidth="1"/>
    <col min="5892" max="5892" width="14.140625" style="431" customWidth="1"/>
    <col min="5893" max="5893" width="14.85546875" style="431" customWidth="1"/>
    <col min="5894" max="5894" width="16.140625" style="431" customWidth="1"/>
    <col min="5895" max="5895" width="27.5703125" style="431" customWidth="1"/>
    <col min="5896" max="5916" width="9.140625" style="431"/>
    <col min="5917" max="5918" width="0" style="431" hidden="1" customWidth="1"/>
    <col min="5919" max="6144" width="9.140625" style="431"/>
    <col min="6145" max="6145" width="6" style="431" customWidth="1"/>
    <col min="6146" max="6146" width="72.5703125" style="431" customWidth="1"/>
    <col min="6147" max="6147" width="14.28515625" style="431" customWidth="1"/>
    <col min="6148" max="6148" width="14.140625" style="431" customWidth="1"/>
    <col min="6149" max="6149" width="14.85546875" style="431" customWidth="1"/>
    <col min="6150" max="6150" width="16.140625" style="431" customWidth="1"/>
    <col min="6151" max="6151" width="27.5703125" style="431" customWidth="1"/>
    <col min="6152" max="6172" width="9.140625" style="431"/>
    <col min="6173" max="6174" width="0" style="431" hidden="1" customWidth="1"/>
    <col min="6175" max="6400" width="9.140625" style="431"/>
    <col min="6401" max="6401" width="6" style="431" customWidth="1"/>
    <col min="6402" max="6402" width="72.5703125" style="431" customWidth="1"/>
    <col min="6403" max="6403" width="14.28515625" style="431" customWidth="1"/>
    <col min="6404" max="6404" width="14.140625" style="431" customWidth="1"/>
    <col min="6405" max="6405" width="14.85546875" style="431" customWidth="1"/>
    <col min="6406" max="6406" width="16.140625" style="431" customWidth="1"/>
    <col min="6407" max="6407" width="27.5703125" style="431" customWidth="1"/>
    <col min="6408" max="6428" width="9.140625" style="431"/>
    <col min="6429" max="6430" width="0" style="431" hidden="1" customWidth="1"/>
    <col min="6431" max="6656" width="9.140625" style="431"/>
    <col min="6657" max="6657" width="6" style="431" customWidth="1"/>
    <col min="6658" max="6658" width="72.5703125" style="431" customWidth="1"/>
    <col min="6659" max="6659" width="14.28515625" style="431" customWidth="1"/>
    <col min="6660" max="6660" width="14.140625" style="431" customWidth="1"/>
    <col min="6661" max="6661" width="14.85546875" style="431" customWidth="1"/>
    <col min="6662" max="6662" width="16.140625" style="431" customWidth="1"/>
    <col min="6663" max="6663" width="27.5703125" style="431" customWidth="1"/>
    <col min="6664" max="6684" width="9.140625" style="431"/>
    <col min="6685" max="6686" width="0" style="431" hidden="1" customWidth="1"/>
    <col min="6687" max="6912" width="9.140625" style="431"/>
    <col min="6913" max="6913" width="6" style="431" customWidth="1"/>
    <col min="6914" max="6914" width="72.5703125" style="431" customWidth="1"/>
    <col min="6915" max="6915" width="14.28515625" style="431" customWidth="1"/>
    <col min="6916" max="6916" width="14.140625" style="431" customWidth="1"/>
    <col min="6917" max="6917" width="14.85546875" style="431" customWidth="1"/>
    <col min="6918" max="6918" width="16.140625" style="431" customWidth="1"/>
    <col min="6919" max="6919" width="27.5703125" style="431" customWidth="1"/>
    <col min="6920" max="6940" width="9.140625" style="431"/>
    <col min="6941" max="6942" width="0" style="431" hidden="1" customWidth="1"/>
    <col min="6943" max="7168" width="9.140625" style="431"/>
    <col min="7169" max="7169" width="6" style="431" customWidth="1"/>
    <col min="7170" max="7170" width="72.5703125" style="431" customWidth="1"/>
    <col min="7171" max="7171" width="14.28515625" style="431" customWidth="1"/>
    <col min="7172" max="7172" width="14.140625" style="431" customWidth="1"/>
    <col min="7173" max="7173" width="14.85546875" style="431" customWidth="1"/>
    <col min="7174" max="7174" width="16.140625" style="431" customWidth="1"/>
    <col min="7175" max="7175" width="27.5703125" style="431" customWidth="1"/>
    <col min="7176" max="7196" width="9.140625" style="431"/>
    <col min="7197" max="7198" width="0" style="431" hidden="1" customWidth="1"/>
    <col min="7199" max="7424" width="9.140625" style="431"/>
    <col min="7425" max="7425" width="6" style="431" customWidth="1"/>
    <col min="7426" max="7426" width="72.5703125" style="431" customWidth="1"/>
    <col min="7427" max="7427" width="14.28515625" style="431" customWidth="1"/>
    <col min="7428" max="7428" width="14.140625" style="431" customWidth="1"/>
    <col min="7429" max="7429" width="14.85546875" style="431" customWidth="1"/>
    <col min="7430" max="7430" width="16.140625" style="431" customWidth="1"/>
    <col min="7431" max="7431" width="27.5703125" style="431" customWidth="1"/>
    <col min="7432" max="7452" width="9.140625" style="431"/>
    <col min="7453" max="7454" width="0" style="431" hidden="1" customWidth="1"/>
    <col min="7455" max="7680" width="9.140625" style="431"/>
    <col min="7681" max="7681" width="6" style="431" customWidth="1"/>
    <col min="7682" max="7682" width="72.5703125" style="431" customWidth="1"/>
    <col min="7683" max="7683" width="14.28515625" style="431" customWidth="1"/>
    <col min="7684" max="7684" width="14.140625" style="431" customWidth="1"/>
    <col min="7685" max="7685" width="14.85546875" style="431" customWidth="1"/>
    <col min="7686" max="7686" width="16.140625" style="431" customWidth="1"/>
    <col min="7687" max="7687" width="27.5703125" style="431" customWidth="1"/>
    <col min="7688" max="7708" width="9.140625" style="431"/>
    <col min="7709" max="7710" width="0" style="431" hidden="1" customWidth="1"/>
    <col min="7711" max="7936" width="9.140625" style="431"/>
    <col min="7937" max="7937" width="6" style="431" customWidth="1"/>
    <col min="7938" max="7938" width="72.5703125" style="431" customWidth="1"/>
    <col min="7939" max="7939" width="14.28515625" style="431" customWidth="1"/>
    <col min="7940" max="7940" width="14.140625" style="431" customWidth="1"/>
    <col min="7941" max="7941" width="14.85546875" style="431" customWidth="1"/>
    <col min="7942" max="7942" width="16.140625" style="431" customWidth="1"/>
    <col min="7943" max="7943" width="27.5703125" style="431" customWidth="1"/>
    <col min="7944" max="7964" width="9.140625" style="431"/>
    <col min="7965" max="7966" width="0" style="431" hidden="1" customWidth="1"/>
    <col min="7967" max="8192" width="9.140625" style="431"/>
    <col min="8193" max="8193" width="6" style="431" customWidth="1"/>
    <col min="8194" max="8194" width="72.5703125" style="431" customWidth="1"/>
    <col min="8195" max="8195" width="14.28515625" style="431" customWidth="1"/>
    <col min="8196" max="8196" width="14.140625" style="431" customWidth="1"/>
    <col min="8197" max="8197" width="14.85546875" style="431" customWidth="1"/>
    <col min="8198" max="8198" width="16.140625" style="431" customWidth="1"/>
    <col min="8199" max="8199" width="27.5703125" style="431" customWidth="1"/>
    <col min="8200" max="8220" width="9.140625" style="431"/>
    <col min="8221" max="8222" width="0" style="431" hidden="1" customWidth="1"/>
    <col min="8223" max="8448" width="9.140625" style="431"/>
    <col min="8449" max="8449" width="6" style="431" customWidth="1"/>
    <col min="8450" max="8450" width="72.5703125" style="431" customWidth="1"/>
    <col min="8451" max="8451" width="14.28515625" style="431" customWidth="1"/>
    <col min="8452" max="8452" width="14.140625" style="431" customWidth="1"/>
    <col min="8453" max="8453" width="14.85546875" style="431" customWidth="1"/>
    <col min="8454" max="8454" width="16.140625" style="431" customWidth="1"/>
    <col min="8455" max="8455" width="27.5703125" style="431" customWidth="1"/>
    <col min="8456" max="8476" width="9.140625" style="431"/>
    <col min="8477" max="8478" width="0" style="431" hidden="1" customWidth="1"/>
    <col min="8479" max="8704" width="9.140625" style="431"/>
    <col min="8705" max="8705" width="6" style="431" customWidth="1"/>
    <col min="8706" max="8706" width="72.5703125" style="431" customWidth="1"/>
    <col min="8707" max="8707" width="14.28515625" style="431" customWidth="1"/>
    <col min="8708" max="8708" width="14.140625" style="431" customWidth="1"/>
    <col min="8709" max="8709" width="14.85546875" style="431" customWidth="1"/>
    <col min="8710" max="8710" width="16.140625" style="431" customWidth="1"/>
    <col min="8711" max="8711" width="27.5703125" style="431" customWidth="1"/>
    <col min="8712" max="8732" width="9.140625" style="431"/>
    <col min="8733" max="8734" width="0" style="431" hidden="1" customWidth="1"/>
    <col min="8735" max="8960" width="9.140625" style="431"/>
    <col min="8961" max="8961" width="6" style="431" customWidth="1"/>
    <col min="8962" max="8962" width="72.5703125" style="431" customWidth="1"/>
    <col min="8963" max="8963" width="14.28515625" style="431" customWidth="1"/>
    <col min="8964" max="8964" width="14.140625" style="431" customWidth="1"/>
    <col min="8965" max="8965" width="14.85546875" style="431" customWidth="1"/>
    <col min="8966" max="8966" width="16.140625" style="431" customWidth="1"/>
    <col min="8967" max="8967" width="27.5703125" style="431" customWidth="1"/>
    <col min="8968" max="8988" width="9.140625" style="431"/>
    <col min="8989" max="8990" width="0" style="431" hidden="1" customWidth="1"/>
    <col min="8991" max="9216" width="9.140625" style="431"/>
    <col min="9217" max="9217" width="6" style="431" customWidth="1"/>
    <col min="9218" max="9218" width="72.5703125" style="431" customWidth="1"/>
    <col min="9219" max="9219" width="14.28515625" style="431" customWidth="1"/>
    <col min="9220" max="9220" width="14.140625" style="431" customWidth="1"/>
    <col min="9221" max="9221" width="14.85546875" style="431" customWidth="1"/>
    <col min="9222" max="9222" width="16.140625" style="431" customWidth="1"/>
    <col min="9223" max="9223" width="27.5703125" style="431" customWidth="1"/>
    <col min="9224" max="9244" width="9.140625" style="431"/>
    <col min="9245" max="9246" width="0" style="431" hidden="1" customWidth="1"/>
    <col min="9247" max="9472" width="9.140625" style="431"/>
    <col min="9473" max="9473" width="6" style="431" customWidth="1"/>
    <col min="9474" max="9474" width="72.5703125" style="431" customWidth="1"/>
    <col min="9475" max="9475" width="14.28515625" style="431" customWidth="1"/>
    <col min="9476" max="9476" width="14.140625" style="431" customWidth="1"/>
    <col min="9477" max="9477" width="14.85546875" style="431" customWidth="1"/>
    <col min="9478" max="9478" width="16.140625" style="431" customWidth="1"/>
    <col min="9479" max="9479" width="27.5703125" style="431" customWidth="1"/>
    <col min="9480" max="9500" width="9.140625" style="431"/>
    <col min="9501" max="9502" width="0" style="431" hidden="1" customWidth="1"/>
    <col min="9503" max="9728" width="9.140625" style="431"/>
    <col min="9729" max="9729" width="6" style="431" customWidth="1"/>
    <col min="9730" max="9730" width="72.5703125" style="431" customWidth="1"/>
    <col min="9731" max="9731" width="14.28515625" style="431" customWidth="1"/>
    <col min="9732" max="9732" width="14.140625" style="431" customWidth="1"/>
    <col min="9733" max="9733" width="14.85546875" style="431" customWidth="1"/>
    <col min="9734" max="9734" width="16.140625" style="431" customWidth="1"/>
    <col min="9735" max="9735" width="27.5703125" style="431" customWidth="1"/>
    <col min="9736" max="9756" width="9.140625" style="431"/>
    <col min="9757" max="9758" width="0" style="431" hidden="1" customWidth="1"/>
    <col min="9759" max="9984" width="9.140625" style="431"/>
    <col min="9985" max="9985" width="6" style="431" customWidth="1"/>
    <col min="9986" max="9986" width="72.5703125" style="431" customWidth="1"/>
    <col min="9987" max="9987" width="14.28515625" style="431" customWidth="1"/>
    <col min="9988" max="9988" width="14.140625" style="431" customWidth="1"/>
    <col min="9989" max="9989" width="14.85546875" style="431" customWidth="1"/>
    <col min="9990" max="9990" width="16.140625" style="431" customWidth="1"/>
    <col min="9991" max="9991" width="27.5703125" style="431" customWidth="1"/>
    <col min="9992" max="10012" width="9.140625" style="431"/>
    <col min="10013" max="10014" width="0" style="431" hidden="1" customWidth="1"/>
    <col min="10015" max="10240" width="9.140625" style="431"/>
    <col min="10241" max="10241" width="6" style="431" customWidth="1"/>
    <col min="10242" max="10242" width="72.5703125" style="431" customWidth="1"/>
    <col min="10243" max="10243" width="14.28515625" style="431" customWidth="1"/>
    <col min="10244" max="10244" width="14.140625" style="431" customWidth="1"/>
    <col min="10245" max="10245" width="14.85546875" style="431" customWidth="1"/>
    <col min="10246" max="10246" width="16.140625" style="431" customWidth="1"/>
    <col min="10247" max="10247" width="27.5703125" style="431" customWidth="1"/>
    <col min="10248" max="10268" width="9.140625" style="431"/>
    <col min="10269" max="10270" width="0" style="431" hidden="1" customWidth="1"/>
    <col min="10271" max="10496" width="9.140625" style="431"/>
    <col min="10497" max="10497" width="6" style="431" customWidth="1"/>
    <col min="10498" max="10498" width="72.5703125" style="431" customWidth="1"/>
    <col min="10499" max="10499" width="14.28515625" style="431" customWidth="1"/>
    <col min="10500" max="10500" width="14.140625" style="431" customWidth="1"/>
    <col min="10501" max="10501" width="14.85546875" style="431" customWidth="1"/>
    <col min="10502" max="10502" width="16.140625" style="431" customWidth="1"/>
    <col min="10503" max="10503" width="27.5703125" style="431" customWidth="1"/>
    <col min="10504" max="10524" width="9.140625" style="431"/>
    <col min="10525" max="10526" width="0" style="431" hidden="1" customWidth="1"/>
    <col min="10527" max="10752" width="9.140625" style="431"/>
    <col min="10753" max="10753" width="6" style="431" customWidth="1"/>
    <col min="10754" max="10754" width="72.5703125" style="431" customWidth="1"/>
    <col min="10755" max="10755" width="14.28515625" style="431" customWidth="1"/>
    <col min="10756" max="10756" width="14.140625" style="431" customWidth="1"/>
    <col min="10757" max="10757" width="14.85546875" style="431" customWidth="1"/>
    <col min="10758" max="10758" width="16.140625" style="431" customWidth="1"/>
    <col min="10759" max="10759" width="27.5703125" style="431" customWidth="1"/>
    <col min="10760" max="10780" width="9.140625" style="431"/>
    <col min="10781" max="10782" width="0" style="431" hidden="1" customWidth="1"/>
    <col min="10783" max="11008" width="9.140625" style="431"/>
    <col min="11009" max="11009" width="6" style="431" customWidth="1"/>
    <col min="11010" max="11010" width="72.5703125" style="431" customWidth="1"/>
    <col min="11011" max="11011" width="14.28515625" style="431" customWidth="1"/>
    <col min="11012" max="11012" width="14.140625" style="431" customWidth="1"/>
    <col min="11013" max="11013" width="14.85546875" style="431" customWidth="1"/>
    <col min="11014" max="11014" width="16.140625" style="431" customWidth="1"/>
    <col min="11015" max="11015" width="27.5703125" style="431" customWidth="1"/>
    <col min="11016" max="11036" width="9.140625" style="431"/>
    <col min="11037" max="11038" width="0" style="431" hidden="1" customWidth="1"/>
    <col min="11039" max="11264" width="9.140625" style="431"/>
    <col min="11265" max="11265" width="6" style="431" customWidth="1"/>
    <col min="11266" max="11266" width="72.5703125" style="431" customWidth="1"/>
    <col min="11267" max="11267" width="14.28515625" style="431" customWidth="1"/>
    <col min="11268" max="11268" width="14.140625" style="431" customWidth="1"/>
    <col min="11269" max="11269" width="14.85546875" style="431" customWidth="1"/>
    <col min="11270" max="11270" width="16.140625" style="431" customWidth="1"/>
    <col min="11271" max="11271" width="27.5703125" style="431" customWidth="1"/>
    <col min="11272" max="11292" width="9.140625" style="431"/>
    <col min="11293" max="11294" width="0" style="431" hidden="1" customWidth="1"/>
    <col min="11295" max="11520" width="9.140625" style="431"/>
    <col min="11521" max="11521" width="6" style="431" customWidth="1"/>
    <col min="11522" max="11522" width="72.5703125" style="431" customWidth="1"/>
    <col min="11523" max="11523" width="14.28515625" style="431" customWidth="1"/>
    <col min="11524" max="11524" width="14.140625" style="431" customWidth="1"/>
    <col min="11525" max="11525" width="14.85546875" style="431" customWidth="1"/>
    <col min="11526" max="11526" width="16.140625" style="431" customWidth="1"/>
    <col min="11527" max="11527" width="27.5703125" style="431" customWidth="1"/>
    <col min="11528" max="11548" width="9.140625" style="431"/>
    <col min="11549" max="11550" width="0" style="431" hidden="1" customWidth="1"/>
    <col min="11551" max="11776" width="9.140625" style="431"/>
    <col min="11777" max="11777" width="6" style="431" customWidth="1"/>
    <col min="11778" max="11778" width="72.5703125" style="431" customWidth="1"/>
    <col min="11779" max="11779" width="14.28515625" style="431" customWidth="1"/>
    <col min="11780" max="11780" width="14.140625" style="431" customWidth="1"/>
    <col min="11781" max="11781" width="14.85546875" style="431" customWidth="1"/>
    <col min="11782" max="11782" width="16.140625" style="431" customWidth="1"/>
    <col min="11783" max="11783" width="27.5703125" style="431" customWidth="1"/>
    <col min="11784" max="11804" width="9.140625" style="431"/>
    <col min="11805" max="11806" width="0" style="431" hidden="1" customWidth="1"/>
    <col min="11807" max="12032" width="9.140625" style="431"/>
    <col min="12033" max="12033" width="6" style="431" customWidth="1"/>
    <col min="12034" max="12034" width="72.5703125" style="431" customWidth="1"/>
    <col min="12035" max="12035" width="14.28515625" style="431" customWidth="1"/>
    <col min="12036" max="12036" width="14.140625" style="431" customWidth="1"/>
    <col min="12037" max="12037" width="14.85546875" style="431" customWidth="1"/>
    <col min="12038" max="12038" width="16.140625" style="431" customWidth="1"/>
    <col min="12039" max="12039" width="27.5703125" style="431" customWidth="1"/>
    <col min="12040" max="12060" width="9.140625" style="431"/>
    <col min="12061" max="12062" width="0" style="431" hidden="1" customWidth="1"/>
    <col min="12063" max="12288" width="9.140625" style="431"/>
    <col min="12289" max="12289" width="6" style="431" customWidth="1"/>
    <col min="12290" max="12290" width="72.5703125" style="431" customWidth="1"/>
    <col min="12291" max="12291" width="14.28515625" style="431" customWidth="1"/>
    <col min="12292" max="12292" width="14.140625" style="431" customWidth="1"/>
    <col min="12293" max="12293" width="14.85546875" style="431" customWidth="1"/>
    <col min="12294" max="12294" width="16.140625" style="431" customWidth="1"/>
    <col min="12295" max="12295" width="27.5703125" style="431" customWidth="1"/>
    <col min="12296" max="12316" width="9.140625" style="431"/>
    <col min="12317" max="12318" width="0" style="431" hidden="1" customWidth="1"/>
    <col min="12319" max="12544" width="9.140625" style="431"/>
    <col min="12545" max="12545" width="6" style="431" customWidth="1"/>
    <col min="12546" max="12546" width="72.5703125" style="431" customWidth="1"/>
    <col min="12547" max="12547" width="14.28515625" style="431" customWidth="1"/>
    <col min="12548" max="12548" width="14.140625" style="431" customWidth="1"/>
    <col min="12549" max="12549" width="14.85546875" style="431" customWidth="1"/>
    <col min="12550" max="12550" width="16.140625" style="431" customWidth="1"/>
    <col min="12551" max="12551" width="27.5703125" style="431" customWidth="1"/>
    <col min="12552" max="12572" width="9.140625" style="431"/>
    <col min="12573" max="12574" width="0" style="431" hidden="1" customWidth="1"/>
    <col min="12575" max="12800" width="9.140625" style="431"/>
    <col min="12801" max="12801" width="6" style="431" customWidth="1"/>
    <col min="12802" max="12802" width="72.5703125" style="431" customWidth="1"/>
    <col min="12803" max="12803" width="14.28515625" style="431" customWidth="1"/>
    <col min="12804" max="12804" width="14.140625" style="431" customWidth="1"/>
    <col min="12805" max="12805" width="14.85546875" style="431" customWidth="1"/>
    <col min="12806" max="12806" width="16.140625" style="431" customWidth="1"/>
    <col min="12807" max="12807" width="27.5703125" style="431" customWidth="1"/>
    <col min="12808" max="12828" width="9.140625" style="431"/>
    <col min="12829" max="12830" width="0" style="431" hidden="1" customWidth="1"/>
    <col min="12831" max="13056" width="9.140625" style="431"/>
    <col min="13057" max="13057" width="6" style="431" customWidth="1"/>
    <col min="13058" max="13058" width="72.5703125" style="431" customWidth="1"/>
    <col min="13059" max="13059" width="14.28515625" style="431" customWidth="1"/>
    <col min="13060" max="13060" width="14.140625" style="431" customWidth="1"/>
    <col min="13061" max="13061" width="14.85546875" style="431" customWidth="1"/>
    <col min="13062" max="13062" width="16.140625" style="431" customWidth="1"/>
    <col min="13063" max="13063" width="27.5703125" style="431" customWidth="1"/>
    <col min="13064" max="13084" width="9.140625" style="431"/>
    <col min="13085" max="13086" width="0" style="431" hidden="1" customWidth="1"/>
    <col min="13087" max="13312" width="9.140625" style="431"/>
    <col min="13313" max="13313" width="6" style="431" customWidth="1"/>
    <col min="13314" max="13314" width="72.5703125" style="431" customWidth="1"/>
    <col min="13315" max="13315" width="14.28515625" style="431" customWidth="1"/>
    <col min="13316" max="13316" width="14.140625" style="431" customWidth="1"/>
    <col min="13317" max="13317" width="14.85546875" style="431" customWidth="1"/>
    <col min="13318" max="13318" width="16.140625" style="431" customWidth="1"/>
    <col min="13319" max="13319" width="27.5703125" style="431" customWidth="1"/>
    <col min="13320" max="13340" width="9.140625" style="431"/>
    <col min="13341" max="13342" width="0" style="431" hidden="1" customWidth="1"/>
    <col min="13343" max="13568" width="9.140625" style="431"/>
    <col min="13569" max="13569" width="6" style="431" customWidth="1"/>
    <col min="13570" max="13570" width="72.5703125" style="431" customWidth="1"/>
    <col min="13571" max="13571" width="14.28515625" style="431" customWidth="1"/>
    <col min="13572" max="13572" width="14.140625" style="431" customWidth="1"/>
    <col min="13573" max="13573" width="14.85546875" style="431" customWidth="1"/>
    <col min="13574" max="13574" width="16.140625" style="431" customWidth="1"/>
    <col min="13575" max="13575" width="27.5703125" style="431" customWidth="1"/>
    <col min="13576" max="13596" width="9.140625" style="431"/>
    <col min="13597" max="13598" width="0" style="431" hidden="1" customWidth="1"/>
    <col min="13599" max="13824" width="9.140625" style="431"/>
    <col min="13825" max="13825" width="6" style="431" customWidth="1"/>
    <col min="13826" max="13826" width="72.5703125" style="431" customWidth="1"/>
    <col min="13827" max="13827" width="14.28515625" style="431" customWidth="1"/>
    <col min="13828" max="13828" width="14.140625" style="431" customWidth="1"/>
    <col min="13829" max="13829" width="14.85546875" style="431" customWidth="1"/>
    <col min="13830" max="13830" width="16.140625" style="431" customWidth="1"/>
    <col min="13831" max="13831" width="27.5703125" style="431" customWidth="1"/>
    <col min="13832" max="13852" width="9.140625" style="431"/>
    <col min="13853" max="13854" width="0" style="431" hidden="1" customWidth="1"/>
    <col min="13855" max="14080" width="9.140625" style="431"/>
    <col min="14081" max="14081" width="6" style="431" customWidth="1"/>
    <col min="14082" max="14082" width="72.5703125" style="431" customWidth="1"/>
    <col min="14083" max="14083" width="14.28515625" style="431" customWidth="1"/>
    <col min="14084" max="14084" width="14.140625" style="431" customWidth="1"/>
    <col min="14085" max="14085" width="14.85546875" style="431" customWidth="1"/>
    <col min="14086" max="14086" width="16.140625" style="431" customWidth="1"/>
    <col min="14087" max="14087" width="27.5703125" style="431" customWidth="1"/>
    <col min="14088" max="14108" width="9.140625" style="431"/>
    <col min="14109" max="14110" width="0" style="431" hidden="1" customWidth="1"/>
    <col min="14111" max="14336" width="9.140625" style="431"/>
    <col min="14337" max="14337" width="6" style="431" customWidth="1"/>
    <col min="14338" max="14338" width="72.5703125" style="431" customWidth="1"/>
    <col min="14339" max="14339" width="14.28515625" style="431" customWidth="1"/>
    <col min="14340" max="14340" width="14.140625" style="431" customWidth="1"/>
    <col min="14341" max="14341" width="14.85546875" style="431" customWidth="1"/>
    <col min="14342" max="14342" width="16.140625" style="431" customWidth="1"/>
    <col min="14343" max="14343" width="27.5703125" style="431" customWidth="1"/>
    <col min="14344" max="14364" width="9.140625" style="431"/>
    <col min="14365" max="14366" width="0" style="431" hidden="1" customWidth="1"/>
    <col min="14367" max="14592" width="9.140625" style="431"/>
    <col min="14593" max="14593" width="6" style="431" customWidth="1"/>
    <col min="14594" max="14594" width="72.5703125" style="431" customWidth="1"/>
    <col min="14595" max="14595" width="14.28515625" style="431" customWidth="1"/>
    <col min="14596" max="14596" width="14.140625" style="431" customWidth="1"/>
    <col min="14597" max="14597" width="14.85546875" style="431" customWidth="1"/>
    <col min="14598" max="14598" width="16.140625" style="431" customWidth="1"/>
    <col min="14599" max="14599" width="27.5703125" style="431" customWidth="1"/>
    <col min="14600" max="14620" width="9.140625" style="431"/>
    <col min="14621" max="14622" width="0" style="431" hidden="1" customWidth="1"/>
    <col min="14623" max="14848" width="9.140625" style="431"/>
    <col min="14849" max="14849" width="6" style="431" customWidth="1"/>
    <col min="14850" max="14850" width="72.5703125" style="431" customWidth="1"/>
    <col min="14851" max="14851" width="14.28515625" style="431" customWidth="1"/>
    <col min="14852" max="14852" width="14.140625" style="431" customWidth="1"/>
    <col min="14853" max="14853" width="14.85546875" style="431" customWidth="1"/>
    <col min="14854" max="14854" width="16.140625" style="431" customWidth="1"/>
    <col min="14855" max="14855" width="27.5703125" style="431" customWidth="1"/>
    <col min="14856" max="14876" width="9.140625" style="431"/>
    <col min="14877" max="14878" width="0" style="431" hidden="1" customWidth="1"/>
    <col min="14879" max="15104" width="9.140625" style="431"/>
    <col min="15105" max="15105" width="6" style="431" customWidth="1"/>
    <col min="15106" max="15106" width="72.5703125" style="431" customWidth="1"/>
    <col min="15107" max="15107" width="14.28515625" style="431" customWidth="1"/>
    <col min="15108" max="15108" width="14.140625" style="431" customWidth="1"/>
    <col min="15109" max="15109" width="14.85546875" style="431" customWidth="1"/>
    <col min="15110" max="15110" width="16.140625" style="431" customWidth="1"/>
    <col min="15111" max="15111" width="27.5703125" style="431" customWidth="1"/>
    <col min="15112" max="15132" width="9.140625" style="431"/>
    <col min="15133" max="15134" width="0" style="431" hidden="1" customWidth="1"/>
    <col min="15135" max="15360" width="9.140625" style="431"/>
    <col min="15361" max="15361" width="6" style="431" customWidth="1"/>
    <col min="15362" max="15362" width="72.5703125" style="431" customWidth="1"/>
    <col min="15363" max="15363" width="14.28515625" style="431" customWidth="1"/>
    <col min="15364" max="15364" width="14.140625" style="431" customWidth="1"/>
    <col min="15365" max="15365" width="14.85546875" style="431" customWidth="1"/>
    <col min="15366" max="15366" width="16.140625" style="431" customWidth="1"/>
    <col min="15367" max="15367" width="27.5703125" style="431" customWidth="1"/>
    <col min="15368" max="15388" width="9.140625" style="431"/>
    <col min="15389" max="15390" width="0" style="431" hidden="1" customWidth="1"/>
    <col min="15391" max="15616" width="9.140625" style="431"/>
    <col min="15617" max="15617" width="6" style="431" customWidth="1"/>
    <col min="15618" max="15618" width="72.5703125" style="431" customWidth="1"/>
    <col min="15619" max="15619" width="14.28515625" style="431" customWidth="1"/>
    <col min="15620" max="15620" width="14.140625" style="431" customWidth="1"/>
    <col min="15621" max="15621" width="14.85546875" style="431" customWidth="1"/>
    <col min="15622" max="15622" width="16.140625" style="431" customWidth="1"/>
    <col min="15623" max="15623" width="27.5703125" style="431" customWidth="1"/>
    <col min="15624" max="15644" width="9.140625" style="431"/>
    <col min="15645" max="15646" width="0" style="431" hidden="1" customWidth="1"/>
    <col min="15647" max="15872" width="9.140625" style="431"/>
    <col min="15873" max="15873" width="6" style="431" customWidth="1"/>
    <col min="15874" max="15874" width="72.5703125" style="431" customWidth="1"/>
    <col min="15875" max="15875" width="14.28515625" style="431" customWidth="1"/>
    <col min="15876" max="15876" width="14.140625" style="431" customWidth="1"/>
    <col min="15877" max="15877" width="14.85546875" style="431" customWidth="1"/>
    <col min="15878" max="15878" width="16.140625" style="431" customWidth="1"/>
    <col min="15879" max="15879" width="27.5703125" style="431" customWidth="1"/>
    <col min="15880" max="15900" width="9.140625" style="431"/>
    <col min="15901" max="15902" width="0" style="431" hidden="1" customWidth="1"/>
    <col min="15903" max="16128" width="9.140625" style="431"/>
    <col min="16129" max="16129" width="6" style="431" customWidth="1"/>
    <col min="16130" max="16130" width="72.5703125" style="431" customWidth="1"/>
    <col min="16131" max="16131" width="14.28515625" style="431" customWidth="1"/>
    <col min="16132" max="16132" width="14.140625" style="431" customWidth="1"/>
    <col min="16133" max="16133" width="14.85546875" style="431" customWidth="1"/>
    <col min="16134" max="16134" width="16.140625" style="431" customWidth="1"/>
    <col min="16135" max="16135" width="27.5703125" style="431" customWidth="1"/>
    <col min="16136" max="16156" width="9.140625" style="431"/>
    <col min="16157" max="16158" width="0" style="431" hidden="1" customWidth="1"/>
    <col min="16159" max="16384" width="9.140625" style="431"/>
  </cols>
  <sheetData>
    <row r="1" spans="1:7" ht="18.75">
      <c r="A1" s="2125" t="s">
        <v>1312</v>
      </c>
      <c r="B1" s="2125"/>
      <c r="C1" s="2125"/>
      <c r="D1" s="2125"/>
      <c r="E1" s="2125"/>
      <c r="F1" s="2125"/>
    </row>
    <row r="2" spans="1:7" ht="18.75">
      <c r="A2" s="2126" t="s">
        <v>1313</v>
      </c>
      <c r="B2" s="2126"/>
      <c r="C2" s="2126"/>
      <c r="D2" s="2126"/>
      <c r="E2" s="2126"/>
      <c r="F2" s="2126"/>
    </row>
    <row r="3" spans="1:7" ht="18.75">
      <c r="A3" s="432"/>
      <c r="B3" s="432"/>
      <c r="C3" s="433"/>
      <c r="D3" s="433"/>
      <c r="E3" s="433"/>
      <c r="F3" s="433"/>
    </row>
    <row r="4" spans="1:7">
      <c r="F4" s="717" t="s">
        <v>38</v>
      </c>
    </row>
    <row r="5" spans="1:7" ht="31.5">
      <c r="A5" s="436" t="s">
        <v>1314</v>
      </c>
      <c r="B5" s="437" t="s">
        <v>1315</v>
      </c>
      <c r="C5" s="438" t="s">
        <v>1625</v>
      </c>
      <c r="D5" s="438" t="s">
        <v>2180</v>
      </c>
      <c r="E5" s="438" t="s">
        <v>1731</v>
      </c>
      <c r="F5" s="438" t="s">
        <v>2181</v>
      </c>
      <c r="G5" s="438" t="s">
        <v>2182</v>
      </c>
    </row>
    <row r="6" spans="1:7">
      <c r="A6" s="439" t="s">
        <v>49</v>
      </c>
      <c r="B6" s="440" t="s">
        <v>1316</v>
      </c>
      <c r="C6" s="441">
        <f>'1.'!B103</f>
        <v>1349000000</v>
      </c>
      <c r="D6" s="441">
        <f>'1.'!D103</f>
        <v>1178328000</v>
      </c>
      <c r="E6" s="441">
        <v>1369000000</v>
      </c>
      <c r="F6" s="441">
        <v>1400000000</v>
      </c>
      <c r="G6" s="441">
        <v>1420000000</v>
      </c>
    </row>
    <row r="7" spans="1:7" ht="31.5">
      <c r="A7" s="439" t="s">
        <v>51</v>
      </c>
      <c r="B7" s="442" t="s">
        <v>1317</v>
      </c>
      <c r="C7" s="441">
        <f>'1.'!B132</f>
        <v>3000000</v>
      </c>
      <c r="D7" s="441">
        <f>'1.'!D132</f>
        <v>7730000</v>
      </c>
      <c r="E7" s="441">
        <v>67340000</v>
      </c>
      <c r="F7" s="441">
        <v>80000000</v>
      </c>
      <c r="G7" s="441">
        <v>80000000</v>
      </c>
    </row>
    <row r="8" spans="1:7">
      <c r="A8" s="439" t="s">
        <v>53</v>
      </c>
      <c r="B8" s="440" t="s">
        <v>1318</v>
      </c>
      <c r="C8" s="441"/>
      <c r="D8" s="441"/>
      <c r="E8" s="441"/>
      <c r="F8" s="441"/>
      <c r="G8" s="441"/>
    </row>
    <row r="9" spans="1:7" ht="31.5">
      <c r="A9" s="439" t="s">
        <v>55</v>
      </c>
      <c r="B9" s="442" t="s">
        <v>1319</v>
      </c>
      <c r="C9" s="441">
        <v>0</v>
      </c>
      <c r="D9" s="441"/>
      <c r="E9" s="441"/>
      <c r="F9" s="441"/>
      <c r="G9" s="441"/>
    </row>
    <row r="10" spans="1:7">
      <c r="A10" s="439" t="s">
        <v>58</v>
      </c>
      <c r="B10" s="440" t="s">
        <v>1320</v>
      </c>
      <c r="C10" s="441">
        <f>'1.'!B109</f>
        <v>1500000</v>
      </c>
      <c r="D10" s="441">
        <f>'1.'!D109</f>
        <v>2583000</v>
      </c>
      <c r="E10" s="441">
        <v>1500000</v>
      </c>
      <c r="F10" s="441">
        <v>1000000</v>
      </c>
      <c r="G10" s="441">
        <v>1000000</v>
      </c>
    </row>
    <row r="11" spans="1:7">
      <c r="A11" s="439" t="s">
        <v>60</v>
      </c>
      <c r="B11" s="440" t="s">
        <v>1321</v>
      </c>
      <c r="C11" s="441"/>
      <c r="D11" s="441"/>
      <c r="E11" s="441"/>
      <c r="F11" s="441"/>
      <c r="G11" s="441"/>
    </row>
    <row r="12" spans="1:7">
      <c r="A12" s="2129" t="s">
        <v>1322</v>
      </c>
      <c r="B12" s="2130"/>
      <c r="C12" s="443">
        <f>SUM(C6:C11)</f>
        <v>1353500000</v>
      </c>
      <c r="D12" s="443">
        <f>SUM(D6:D11)</f>
        <v>1188641000</v>
      </c>
      <c r="E12" s="443">
        <f>SUM(E6:E11)</f>
        <v>1437840000</v>
      </c>
      <c r="F12" s="443">
        <f>SUM(F6:F11)</f>
        <v>1481000000</v>
      </c>
      <c r="G12" s="443">
        <f>SUM(G6:G11)</f>
        <v>1501000000</v>
      </c>
    </row>
    <row r="13" spans="1:7">
      <c r="A13" s="2131" t="s">
        <v>1323</v>
      </c>
      <c r="B13" s="2132"/>
      <c r="C13" s="444">
        <f>C12*0.5</f>
        <v>676750000</v>
      </c>
      <c r="D13" s="444">
        <f>D12*0.5</f>
        <v>594320500</v>
      </c>
      <c r="E13" s="444">
        <f>E12*0.5</f>
        <v>718920000</v>
      </c>
      <c r="F13" s="444">
        <f>F12*0.5</f>
        <v>740500000</v>
      </c>
      <c r="G13" s="444">
        <f>G12*0.5</f>
        <v>750500000</v>
      </c>
    </row>
    <row r="15" spans="1:7">
      <c r="A15" s="2133" t="s">
        <v>1324</v>
      </c>
      <c r="B15" s="2133"/>
      <c r="C15" s="2133"/>
      <c r="D15" s="2133"/>
      <c r="E15" s="2133"/>
      <c r="F15" s="2133"/>
    </row>
    <row r="16" spans="1:7">
      <c r="A16" s="2133" t="s">
        <v>1325</v>
      </c>
      <c r="B16" s="2133"/>
      <c r="C16" s="2133"/>
      <c r="D16" s="2133"/>
      <c r="E16" s="2133"/>
      <c r="F16" s="2133"/>
    </row>
    <row r="19" spans="1:6" ht="18.75">
      <c r="A19" s="2125" t="s">
        <v>1326</v>
      </c>
      <c r="B19" s="2125"/>
      <c r="C19" s="2125"/>
      <c r="D19" s="2125"/>
      <c r="E19" s="2125"/>
      <c r="F19" s="2125"/>
    </row>
    <row r="20" spans="1:6" ht="18.75">
      <c r="A20" s="2126" t="s">
        <v>1327</v>
      </c>
      <c r="B20" s="2126"/>
      <c r="C20" s="2126"/>
      <c r="D20" s="2126"/>
      <c r="E20" s="2126"/>
      <c r="F20" s="2126"/>
    </row>
    <row r="21" spans="1:6">
      <c r="F21" s="717" t="s">
        <v>38</v>
      </c>
    </row>
    <row r="22" spans="1:6" ht="31.5">
      <c r="A22" s="436" t="s">
        <v>1314</v>
      </c>
      <c r="B22" s="437" t="s">
        <v>224</v>
      </c>
      <c r="C22" s="438" t="s">
        <v>2183</v>
      </c>
      <c r="D22" s="438" t="s">
        <v>2184</v>
      </c>
      <c r="E22" s="438" t="s">
        <v>2185</v>
      </c>
      <c r="F22" s="438" t="s">
        <v>2186</v>
      </c>
    </row>
    <row r="23" spans="1:6">
      <c r="A23" s="439" t="s">
        <v>49</v>
      </c>
      <c r="B23" s="440" t="s">
        <v>1328</v>
      </c>
      <c r="C23" s="441" t="s">
        <v>178</v>
      </c>
      <c r="D23" s="441" t="s">
        <v>178</v>
      </c>
      <c r="E23" s="441" t="s">
        <v>178</v>
      </c>
      <c r="F23" s="441" t="s">
        <v>178</v>
      </c>
    </row>
    <row r="24" spans="1:6">
      <c r="A24" s="2127" t="s">
        <v>1329</v>
      </c>
      <c r="B24" s="2128"/>
      <c r="C24" s="441">
        <v>0</v>
      </c>
      <c r="D24" s="441">
        <v>0</v>
      </c>
      <c r="E24" s="441">
        <v>0</v>
      </c>
      <c r="F24" s="441">
        <v>0</v>
      </c>
    </row>
  </sheetData>
  <mergeCells count="9">
    <mergeCell ref="A19:F19"/>
    <mergeCell ref="A20:F20"/>
    <mergeCell ref="A24:B24"/>
    <mergeCell ref="A1:F1"/>
    <mergeCell ref="A2:F2"/>
    <mergeCell ref="A12:B12"/>
    <mergeCell ref="A13:B13"/>
    <mergeCell ref="A15:F15"/>
    <mergeCell ref="A16:F16"/>
  </mergeCells>
  <phoneticPr fontId="74" type="noConversion"/>
  <printOptions headings="1"/>
  <pageMargins left="0.39370078740157483" right="0.39370078740157483" top="0.98425196850393704" bottom="0.98425196850393704" header="0.51181102362204722" footer="0.51181102362204722"/>
  <pageSetup paperSize="9" scale="85" orientation="landscape" horizontalDpi="300" verticalDpi="300" r:id="rId1"/>
  <headerFooter alignWithMargins="0">
    <oddHeader>&amp;R&amp;A melléklet a /2026.(V.28.) önkormányzati rendelethez/ &amp;P.oldal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68"/>
  <sheetViews>
    <sheetView zoomScaleNormal="100" workbookViewId="0">
      <selection activeCell="J7" sqref="J7"/>
    </sheetView>
  </sheetViews>
  <sheetFormatPr defaultRowHeight="12.75"/>
  <cols>
    <col min="1" max="1" width="5.7109375" style="115"/>
    <col min="2" max="2" width="3.42578125" style="115"/>
    <col min="3" max="3" width="4" style="115"/>
    <col min="4" max="4" width="43.7109375" style="115"/>
    <col min="5" max="5" width="16.140625" style="115" bestFit="1" customWidth="1"/>
    <col min="6" max="6" width="12.140625" style="115" bestFit="1" customWidth="1"/>
    <col min="7" max="7" width="11.7109375" style="115"/>
    <col min="8" max="8" width="11.85546875" style="115"/>
    <col min="9" max="22" width="8.7109375"/>
    <col min="23" max="24" width="0" hidden="1"/>
    <col min="25" max="1025" width="8.7109375"/>
  </cols>
  <sheetData>
    <row r="1" spans="1:8">
      <c r="A1"/>
      <c r="B1"/>
      <c r="C1"/>
      <c r="D1"/>
      <c r="E1"/>
      <c r="F1"/>
      <c r="G1"/>
      <c r="H1"/>
    </row>
    <row r="2" spans="1:8" ht="18.75">
      <c r="A2" s="2134" t="s">
        <v>169</v>
      </c>
      <c r="B2" s="2134"/>
      <c r="C2" s="2134"/>
      <c r="D2" s="2134"/>
      <c r="E2" s="2134"/>
      <c r="F2" s="2134"/>
      <c r="G2" s="2134"/>
      <c r="H2" s="2134"/>
    </row>
    <row r="3" spans="1:8">
      <c r="A3"/>
      <c r="B3"/>
      <c r="C3"/>
      <c r="D3"/>
      <c r="E3"/>
      <c r="F3"/>
      <c r="G3"/>
      <c r="H3"/>
    </row>
    <row r="4" spans="1:8" ht="18.75">
      <c r="A4" s="2134" t="s">
        <v>170</v>
      </c>
      <c r="B4" s="2134"/>
      <c r="C4" s="2134"/>
      <c r="D4" s="2134"/>
      <c r="E4" s="2134"/>
      <c r="F4" s="2134"/>
      <c r="G4" s="2134"/>
      <c r="H4" s="2134"/>
    </row>
    <row r="5" spans="1:8" ht="18.75">
      <c r="A5" s="2134" t="s">
        <v>2187</v>
      </c>
      <c r="B5" s="2134"/>
      <c r="C5" s="2134"/>
      <c r="D5" s="2134"/>
      <c r="E5" s="2134"/>
      <c r="F5" s="2134"/>
      <c r="G5" s="2134"/>
      <c r="H5" s="2134"/>
    </row>
    <row r="6" spans="1:8" ht="18.75">
      <c r="A6" s="2134" t="s">
        <v>171</v>
      </c>
      <c r="B6" s="2134"/>
      <c r="C6" s="2134"/>
      <c r="D6" s="2134"/>
      <c r="E6" s="2134"/>
      <c r="F6" s="2134"/>
      <c r="G6" s="2134"/>
      <c r="H6" s="2134"/>
    </row>
    <row r="7" spans="1:8" ht="18.75">
      <c r="A7" s="163"/>
      <c r="B7" s="163"/>
      <c r="C7" s="163"/>
      <c r="D7" s="163"/>
      <c r="E7" s="163"/>
      <c r="F7" s="163"/>
      <c r="G7" s="163"/>
      <c r="H7" s="163"/>
    </row>
    <row r="8" spans="1:8" ht="18.75">
      <c r="A8" s="2134" t="s">
        <v>172</v>
      </c>
      <c r="B8" s="2134"/>
      <c r="C8" s="2134"/>
      <c r="D8" s="2134"/>
      <c r="E8" s="2134"/>
      <c r="F8" s="2134"/>
      <c r="G8" s="2134"/>
      <c r="H8" s="2134"/>
    </row>
    <row r="9" spans="1:8" ht="15.75">
      <c r="A9" s="162"/>
      <c r="B9" s="162"/>
      <c r="C9" s="162"/>
      <c r="D9" s="1"/>
      <c r="E9" s="85"/>
      <c r="F9" s="85"/>
      <c r="G9" s="85"/>
      <c r="H9" s="1"/>
    </row>
    <row r="10" spans="1:8" ht="15.75">
      <c r="A10" s="162"/>
      <c r="B10" s="162"/>
      <c r="C10" s="162"/>
      <c r="D10" s="1"/>
      <c r="E10" s="1"/>
      <c r="F10" s="1"/>
      <c r="G10" s="1"/>
      <c r="H10" s="1"/>
    </row>
    <row r="11" spans="1:8" ht="15.75">
      <c r="A11" s="162"/>
      <c r="B11" s="162"/>
      <c r="C11" s="162"/>
      <c r="D11" s="1"/>
      <c r="E11"/>
      <c r="F11" s="22"/>
      <c r="G11" s="22" t="s">
        <v>38</v>
      </c>
      <c r="H11" s="1"/>
    </row>
    <row r="12" spans="1:8" ht="50.25" customHeight="1">
      <c r="A12" s="164"/>
      <c r="B12" s="165"/>
      <c r="C12" s="165"/>
      <c r="D12" s="166"/>
      <c r="E12" s="167" t="s">
        <v>2188</v>
      </c>
      <c r="F12" s="167" t="s">
        <v>1732</v>
      </c>
      <c r="G12" s="168" t="s">
        <v>48</v>
      </c>
      <c r="H12" s="169" t="s">
        <v>1</v>
      </c>
    </row>
    <row r="13" spans="1:8" ht="20.100000000000001" customHeight="1">
      <c r="A13" s="170" t="s">
        <v>49</v>
      </c>
      <c r="B13" s="2135" t="s">
        <v>50</v>
      </c>
      <c r="C13" s="2135"/>
      <c r="D13" s="2135"/>
      <c r="E13" s="171">
        <f>'1.'!B88</f>
        <v>670402000</v>
      </c>
      <c r="F13" s="172">
        <f>+'1.'!C88</f>
        <v>887456000</v>
      </c>
      <c r="G13" s="172">
        <f>+'1.'!D88</f>
        <v>864630000</v>
      </c>
      <c r="H13" s="173">
        <f t="shared" ref="H13:H19" si="0">G13/F13</f>
        <v>0.97427928821259868</v>
      </c>
    </row>
    <row r="14" spans="1:8" ht="20.100000000000001" customHeight="1">
      <c r="A14" s="174" t="s">
        <v>51</v>
      </c>
      <c r="B14" s="2136" t="s">
        <v>158</v>
      </c>
      <c r="C14" s="2136"/>
      <c r="D14" s="2136"/>
      <c r="E14" s="38">
        <f>'1.'!B94</f>
        <v>554997000</v>
      </c>
      <c r="F14" s="38">
        <f>'1.'!C94</f>
        <v>555838000</v>
      </c>
      <c r="G14" s="38">
        <f>'1.'!D94</f>
        <v>161740000</v>
      </c>
      <c r="H14" s="173">
        <f t="shared" si="0"/>
        <v>0.29098406370201391</v>
      </c>
    </row>
    <row r="15" spans="1:8" ht="20.100000000000001" customHeight="1">
      <c r="A15" s="174" t="s">
        <v>53</v>
      </c>
      <c r="B15" s="2136" t="s">
        <v>54</v>
      </c>
      <c r="C15" s="2136"/>
      <c r="D15" s="2136"/>
      <c r="E15" s="175">
        <f>'1.'!B111</f>
        <v>1350500000</v>
      </c>
      <c r="F15" s="175">
        <f>'1.'!C111</f>
        <v>1226439000</v>
      </c>
      <c r="G15" s="175">
        <f>'1.'!D111</f>
        <v>1180911000</v>
      </c>
      <c r="H15" s="173">
        <f t="shared" si="0"/>
        <v>0.96287789282630443</v>
      </c>
    </row>
    <row r="16" spans="1:8" ht="20.100000000000001" customHeight="1">
      <c r="A16" s="174" t="s">
        <v>55</v>
      </c>
      <c r="B16" s="2137" t="s">
        <v>149</v>
      </c>
      <c r="C16" s="2137"/>
      <c r="D16" s="2137"/>
      <c r="E16" s="175">
        <f>'1.'!B126</f>
        <v>342398000</v>
      </c>
      <c r="F16" s="175">
        <f>'1.'!C126</f>
        <v>357701000</v>
      </c>
      <c r="G16" s="175">
        <f>'1.'!D126</f>
        <v>432174387</v>
      </c>
      <c r="H16" s="173">
        <f t="shared" si="0"/>
        <v>1.2082001084704823</v>
      </c>
    </row>
    <row r="17" spans="1:8" ht="20.100000000000001" customHeight="1">
      <c r="A17" s="174" t="s">
        <v>58</v>
      </c>
      <c r="B17" s="177" t="s">
        <v>59</v>
      </c>
      <c r="C17" s="178"/>
      <c r="D17" s="178"/>
      <c r="E17" s="175">
        <f>'1.'!B132</f>
        <v>3000000</v>
      </c>
      <c r="F17" s="175">
        <f>'1.'!C132</f>
        <v>3000000</v>
      </c>
      <c r="G17" s="175">
        <f>'1.'!D132</f>
        <v>7730000</v>
      </c>
      <c r="H17" s="173">
        <f t="shared" si="0"/>
        <v>2.5766666666666667</v>
      </c>
    </row>
    <row r="18" spans="1:8" ht="20.100000000000001" customHeight="1">
      <c r="A18" s="174" t="s">
        <v>60</v>
      </c>
      <c r="B18" s="2136" t="s">
        <v>61</v>
      </c>
      <c r="C18" s="2136"/>
      <c r="D18" s="2136"/>
      <c r="E18" s="175">
        <f>'1.'!B138</f>
        <v>0</v>
      </c>
      <c r="F18" s="175">
        <f>'1.'!C138</f>
        <v>0</v>
      </c>
      <c r="G18" s="175">
        <f>'1.'!D138</f>
        <v>969000</v>
      </c>
      <c r="H18" s="173">
        <v>0</v>
      </c>
    </row>
    <row r="19" spans="1:8" ht="20.100000000000001" customHeight="1">
      <c r="A19" s="174" t="s">
        <v>62</v>
      </c>
      <c r="B19" s="2136" t="s">
        <v>63</v>
      </c>
      <c r="C19" s="2136"/>
      <c r="D19" s="2136"/>
      <c r="E19" s="179">
        <f>'1.'!B143</f>
        <v>3500000</v>
      </c>
      <c r="F19" s="179">
        <f>'1.'!C143</f>
        <v>3500000</v>
      </c>
      <c r="G19" s="179">
        <f>'1.'!D143</f>
        <v>2753000</v>
      </c>
      <c r="H19" s="173">
        <f t="shared" si="0"/>
        <v>0.78657142857142859</v>
      </c>
    </row>
    <row r="20" spans="1:8" ht="20.100000000000001" customHeight="1">
      <c r="A20" s="174"/>
      <c r="B20" s="2138"/>
      <c r="C20" s="2138"/>
      <c r="D20" s="2138"/>
      <c r="E20" s="175"/>
      <c r="F20" s="176"/>
      <c r="G20" s="176"/>
      <c r="H20" s="173"/>
    </row>
    <row r="21" spans="1:8" ht="20.100000000000001" customHeight="1">
      <c r="A21" s="174" t="s">
        <v>65</v>
      </c>
      <c r="B21" s="2139" t="s">
        <v>173</v>
      </c>
      <c r="C21" s="2139"/>
      <c r="D21" s="2139"/>
      <c r="E21" s="175"/>
      <c r="F21" s="176"/>
      <c r="G21" s="176"/>
      <c r="H21" s="173"/>
    </row>
    <row r="22" spans="1:8" ht="20.100000000000001" customHeight="1">
      <c r="A22" s="174"/>
      <c r="B22" s="181"/>
      <c r="C22" s="182"/>
      <c r="D22" s="180"/>
      <c r="E22" s="175"/>
      <c r="F22" s="176"/>
      <c r="G22" s="176"/>
      <c r="H22" s="173"/>
    </row>
    <row r="23" spans="1:8" ht="24.95" customHeight="1">
      <c r="A23" s="183"/>
      <c r="B23" s="2140" t="s">
        <v>174</v>
      </c>
      <c r="C23" s="2140"/>
      <c r="D23" s="2140"/>
      <c r="E23" s="1455">
        <f>SUM(E13:E21)</f>
        <v>2924797000</v>
      </c>
      <c r="F23" s="1455">
        <f>SUM(F13:F21)</f>
        <v>3033934000</v>
      </c>
      <c r="G23" s="1455">
        <f>SUM(G13:G21)</f>
        <v>2650907387</v>
      </c>
      <c r="H23" s="1456">
        <f>G23/F23</f>
        <v>0.87375249000143052</v>
      </c>
    </row>
    <row r="24" spans="1:8" ht="20.100000000000001" customHeight="1">
      <c r="A24" s="174"/>
      <c r="B24" s="2141"/>
      <c r="C24" s="2141"/>
      <c r="D24" s="2141"/>
      <c r="E24" s="175"/>
      <c r="F24" s="176"/>
      <c r="G24" s="176"/>
      <c r="H24" s="173"/>
    </row>
    <row r="25" spans="1:8" ht="20.100000000000001" customHeight="1">
      <c r="A25" s="174" t="s">
        <v>96</v>
      </c>
      <c r="B25" s="2142" t="s">
        <v>66</v>
      </c>
      <c r="C25" s="2142"/>
      <c r="D25" s="2142"/>
      <c r="E25" s="1457">
        <f>'1.'!B151</f>
        <v>2536320000</v>
      </c>
      <c r="F25" s="1457">
        <f>'1.'!C151</f>
        <v>3547593000</v>
      </c>
      <c r="G25" s="1457">
        <f>'1.'!D151</f>
        <v>3547593000</v>
      </c>
      <c r="H25" s="1458">
        <f>G25/F25</f>
        <v>1</v>
      </c>
    </row>
    <row r="26" spans="1:8" ht="20.100000000000001" customHeight="1">
      <c r="A26" s="174"/>
      <c r="B26" s="2141"/>
      <c r="C26" s="2141"/>
      <c r="D26" s="2141"/>
      <c r="E26" s="175"/>
      <c r="F26" s="176"/>
      <c r="G26" s="176"/>
      <c r="H26" s="173"/>
    </row>
    <row r="27" spans="1:8" ht="35.1" customHeight="1" thickBot="1">
      <c r="A27" s="187"/>
      <c r="B27" s="2143" t="s">
        <v>67</v>
      </c>
      <c r="C27" s="2143"/>
      <c r="D27" s="2143"/>
      <c r="E27" s="1453">
        <f>SUM(E25,E23)</f>
        <v>5461117000</v>
      </c>
      <c r="F27" s="1453">
        <f>SUM(F25,F23)</f>
        <v>6581527000</v>
      </c>
      <c r="G27" s="1453">
        <f>SUM(G25,G23)</f>
        <v>6198500387</v>
      </c>
      <c r="H27" s="1454">
        <f>G27/F27</f>
        <v>0.94180277418902936</v>
      </c>
    </row>
    <row r="28" spans="1:8" ht="16.5" thickTop="1">
      <c r="A28" s="162"/>
      <c r="B28" s="162"/>
      <c r="C28" s="162"/>
      <c r="D28" s="1"/>
      <c r="E28" s="6"/>
      <c r="F28" s="6"/>
      <c r="G28" s="6"/>
      <c r="H28" s="6"/>
    </row>
    <row r="29" spans="1:8" ht="18.75">
      <c r="A29" s="2134" t="s">
        <v>170</v>
      </c>
      <c r="B29" s="2134"/>
      <c r="C29" s="2134"/>
      <c r="D29" s="2134"/>
      <c r="E29" s="2134"/>
      <c r="F29" s="2134"/>
      <c r="G29" s="2134"/>
      <c r="H29" s="2134"/>
    </row>
    <row r="30" spans="1:8" ht="18.75">
      <c r="A30" s="2134" t="s">
        <v>2189</v>
      </c>
      <c r="B30" s="2134"/>
      <c r="C30" s="2134"/>
      <c r="D30" s="2134"/>
      <c r="E30" s="2134"/>
      <c r="F30" s="2134"/>
      <c r="G30" s="2134"/>
      <c r="H30" s="2134"/>
    </row>
    <row r="31" spans="1:8" ht="18.75">
      <c r="A31" s="2134" t="s">
        <v>171</v>
      </c>
      <c r="B31" s="2134"/>
      <c r="C31" s="2134"/>
      <c r="D31" s="2134"/>
      <c r="E31" s="2134"/>
      <c r="F31" s="2134"/>
      <c r="G31" s="2134"/>
      <c r="H31" s="2134"/>
    </row>
    <row r="32" spans="1:8" ht="15.75">
      <c r="A32" s="162"/>
      <c r="B32" s="162"/>
      <c r="C32" s="162"/>
      <c r="D32" s="1"/>
      <c r="E32" s="1"/>
      <c r="F32" s="1"/>
      <c r="G32" s="1"/>
      <c r="H32" s="1"/>
    </row>
    <row r="33" spans="1:9" ht="18.75">
      <c r="A33" s="2134" t="s">
        <v>175</v>
      </c>
      <c r="B33" s="2134"/>
      <c r="C33" s="2134"/>
      <c r="D33" s="2134"/>
      <c r="E33" s="2134"/>
      <c r="F33" s="2134"/>
      <c r="G33" s="2134"/>
      <c r="H33" s="2134"/>
      <c r="I33" s="115"/>
    </row>
    <row r="34" spans="1:9" ht="18.75">
      <c r="A34" s="163"/>
      <c r="B34" s="163"/>
      <c r="C34" s="163"/>
      <c r="D34" s="163"/>
      <c r="E34" s="163"/>
      <c r="F34" s="163"/>
      <c r="G34" s="163"/>
      <c r="H34" s="163"/>
      <c r="I34" s="115"/>
    </row>
    <row r="35" spans="1:9" ht="18.75">
      <c r="A35" s="163"/>
      <c r="B35" s="163"/>
      <c r="C35" s="163"/>
      <c r="D35" s="163"/>
      <c r="E35" s="1"/>
      <c r="F35" s="1"/>
      <c r="G35" s="1"/>
      <c r="H35" s="163"/>
      <c r="I35" s="115"/>
    </row>
    <row r="36" spans="1:9" ht="18.75">
      <c r="A36" s="163"/>
      <c r="B36" s="163"/>
      <c r="C36" s="163"/>
      <c r="D36" s="163"/>
      <c r="E36"/>
      <c r="F36" s="22"/>
      <c r="G36" s="22" t="s">
        <v>38</v>
      </c>
      <c r="H36" s="163"/>
      <c r="I36" s="115"/>
    </row>
    <row r="37" spans="1:9" ht="56.25" customHeight="1">
      <c r="A37" s="164"/>
      <c r="B37" s="165"/>
      <c r="C37" s="165"/>
      <c r="D37" s="188"/>
      <c r="E37" s="167" t="s">
        <v>2188</v>
      </c>
      <c r="F37" s="189" t="s">
        <v>2190</v>
      </c>
      <c r="G37" s="168" t="s">
        <v>48</v>
      </c>
      <c r="H37" s="169" t="s">
        <v>1</v>
      </c>
      <c r="I37" s="115"/>
    </row>
    <row r="38" spans="1:9" ht="20.100000000000001" customHeight="1">
      <c r="A38" s="1476" t="s">
        <v>176</v>
      </c>
      <c r="B38" s="2144" t="s">
        <v>177</v>
      </c>
      <c r="C38" s="2144"/>
      <c r="D38" s="2144"/>
      <c r="E38" s="1477">
        <f>SUM(E39:E45)</f>
        <v>2613888000</v>
      </c>
      <c r="F38" s="1477">
        <f>SUM(F39:F45)</f>
        <v>3290481693</v>
      </c>
      <c r="G38" s="1477">
        <f>SUM(G39:G45)</f>
        <v>2114638822</v>
      </c>
      <c r="H38" s="1478">
        <f t="shared" ref="H38:H45" si="1">G38/F38</f>
        <v>0.64265327064380051</v>
      </c>
      <c r="I38" s="115"/>
    </row>
    <row r="39" spans="1:9" ht="20.100000000000001" customHeight="1">
      <c r="A39" s="190"/>
      <c r="B39" s="191" t="s">
        <v>178</v>
      </c>
      <c r="C39" s="2145" t="s">
        <v>89</v>
      </c>
      <c r="D39" s="2145"/>
      <c r="E39" s="179">
        <f>'4.'!T10</f>
        <v>780301000</v>
      </c>
      <c r="F39" s="179">
        <f>'4.'!U10</f>
        <v>862713798</v>
      </c>
      <c r="G39" s="179">
        <f>'4.'!V10</f>
        <v>846688807</v>
      </c>
      <c r="H39" s="192">
        <f t="shared" si="1"/>
        <v>0.98142490471677835</v>
      </c>
      <c r="I39" s="115"/>
    </row>
    <row r="40" spans="1:9" ht="20.100000000000001" customHeight="1">
      <c r="A40" s="174"/>
      <c r="B40" s="184" t="s">
        <v>178</v>
      </c>
      <c r="C40" s="2139" t="s">
        <v>179</v>
      </c>
      <c r="D40" s="2139"/>
      <c r="E40" s="179">
        <f>'4.'!T11</f>
        <v>105948000</v>
      </c>
      <c r="F40" s="179">
        <f>'4.'!U11</f>
        <v>118155880</v>
      </c>
      <c r="G40" s="179">
        <f>'4.'!V11</f>
        <v>117505688</v>
      </c>
      <c r="H40" s="193">
        <f t="shared" si="1"/>
        <v>0.99449716763990081</v>
      </c>
      <c r="I40" s="115"/>
    </row>
    <row r="41" spans="1:9" ht="20.100000000000001" customHeight="1">
      <c r="A41" s="174"/>
      <c r="B41" s="184" t="s">
        <v>178</v>
      </c>
      <c r="C41" s="2139" t="s">
        <v>150</v>
      </c>
      <c r="D41" s="2139"/>
      <c r="E41" s="179">
        <f>'4.'!T12</f>
        <v>774693000</v>
      </c>
      <c r="F41" s="179">
        <f>'4.'!U12</f>
        <v>815767015</v>
      </c>
      <c r="G41" s="179">
        <f>'4.'!V12</f>
        <v>560405327</v>
      </c>
      <c r="H41" s="173">
        <f t="shared" si="1"/>
        <v>0.68696737756674309</v>
      </c>
      <c r="I41" s="115"/>
    </row>
    <row r="42" spans="1:9" ht="20.100000000000001" customHeight="1">
      <c r="A42" s="174"/>
      <c r="B42" s="184" t="s">
        <v>178</v>
      </c>
      <c r="C42" s="2139" t="s">
        <v>180</v>
      </c>
      <c r="D42" s="2139"/>
      <c r="E42" s="179">
        <f>'4.'!T13</f>
        <v>44073000</v>
      </c>
      <c r="F42" s="179">
        <f>'4.'!U13</f>
        <v>43873000</v>
      </c>
      <c r="G42" s="179">
        <f>'4.'!V13</f>
        <v>40748000</v>
      </c>
      <c r="H42" s="173">
        <f t="shared" si="1"/>
        <v>0.92877168190002968</v>
      </c>
      <c r="I42" s="115"/>
    </row>
    <row r="43" spans="1:9" ht="20.100000000000001" customHeight="1">
      <c r="A43" s="174"/>
      <c r="B43" s="184" t="s">
        <v>178</v>
      </c>
      <c r="C43" s="2139" t="s">
        <v>93</v>
      </c>
      <c r="D43" s="2139"/>
      <c r="E43" s="179">
        <f>'4.'!T14</f>
        <v>504785000</v>
      </c>
      <c r="F43" s="179">
        <f>'4.'!U14</f>
        <v>549509000</v>
      </c>
      <c r="G43" s="179">
        <f>'4.'!V14</f>
        <v>549291000</v>
      </c>
      <c r="H43" s="173">
        <f t="shared" si="1"/>
        <v>0.99960328220283923</v>
      </c>
      <c r="I43" s="115"/>
    </row>
    <row r="44" spans="1:9" ht="20.100000000000001" customHeight="1">
      <c r="A44" s="174"/>
      <c r="B44" s="184" t="s">
        <v>178</v>
      </c>
      <c r="C44" s="2139" t="s">
        <v>181</v>
      </c>
      <c r="D44" s="2139"/>
      <c r="E44" s="179">
        <f>'4.'!T15</f>
        <v>276580000</v>
      </c>
      <c r="F44" s="179">
        <f>'4.'!U15</f>
        <v>826955000</v>
      </c>
      <c r="G44" s="179">
        <f>'4.'!V15</f>
        <v>0</v>
      </c>
      <c r="H44" s="173">
        <f t="shared" si="1"/>
        <v>0</v>
      </c>
      <c r="I44" s="115"/>
    </row>
    <row r="45" spans="1:9" ht="20.100000000000001" customHeight="1">
      <c r="A45" s="174"/>
      <c r="B45" s="184" t="s">
        <v>178</v>
      </c>
      <c r="C45" s="2139" t="s">
        <v>182</v>
      </c>
      <c r="D45" s="2139"/>
      <c r="E45" s="179">
        <f>'4.'!T16</f>
        <v>127508000</v>
      </c>
      <c r="F45" s="179">
        <f>'4.'!U16</f>
        <v>73508000</v>
      </c>
      <c r="G45" s="179">
        <f>'4.'!V16</f>
        <v>0</v>
      </c>
      <c r="H45" s="173">
        <f t="shared" si="1"/>
        <v>0</v>
      </c>
      <c r="I45" s="115"/>
    </row>
    <row r="46" spans="1:9" ht="20.100000000000001" customHeight="1">
      <c r="A46" s="174"/>
      <c r="B46" s="2141"/>
      <c r="C46" s="2141"/>
      <c r="D46" s="2141"/>
      <c r="E46" s="175"/>
      <c r="F46" s="176"/>
      <c r="G46" s="176"/>
      <c r="H46" s="173"/>
      <c r="I46" s="115"/>
    </row>
    <row r="47" spans="1:9" ht="20.100000000000001" customHeight="1">
      <c r="A47" s="1473" t="s">
        <v>183</v>
      </c>
      <c r="B47" s="2146" t="s">
        <v>184</v>
      </c>
      <c r="C47" s="2146"/>
      <c r="D47" s="2146"/>
      <c r="E47" s="1474">
        <f>SUM(E48:E51)</f>
        <v>2826075000</v>
      </c>
      <c r="F47" s="1474">
        <f>SUM(F48:F51)</f>
        <v>2998044000</v>
      </c>
      <c r="G47" s="1474">
        <f>SUM(G48:G51)</f>
        <v>682240035.02999997</v>
      </c>
      <c r="H47" s="1475">
        <f>G47/F47</f>
        <v>0.2275617152483419</v>
      </c>
      <c r="I47" s="115"/>
    </row>
    <row r="48" spans="1:9" ht="20.100000000000001" customHeight="1">
      <c r="A48" s="190"/>
      <c r="B48" s="191" t="s">
        <v>178</v>
      </c>
      <c r="C48" s="2147" t="s">
        <v>95</v>
      </c>
      <c r="D48" s="2147"/>
      <c r="E48" s="179">
        <f>'4.'!T20</f>
        <v>2678503000</v>
      </c>
      <c r="F48" s="179">
        <f>'4.'!U20</f>
        <v>2808712000</v>
      </c>
      <c r="G48" s="179">
        <f>'4.'!V20</f>
        <v>584290786.13999999</v>
      </c>
      <c r="H48" s="192">
        <f>G48/F48</f>
        <v>0.2080280164502448</v>
      </c>
      <c r="I48" s="115"/>
    </row>
    <row r="49" spans="1:9" ht="20.100000000000001" customHeight="1">
      <c r="A49" s="174"/>
      <c r="B49" s="184" t="s">
        <v>178</v>
      </c>
      <c r="C49" s="2139" t="s">
        <v>97</v>
      </c>
      <c r="D49" s="2139"/>
      <c r="E49" s="179">
        <f>'4.'!T21</f>
        <v>116907000</v>
      </c>
      <c r="F49" s="179">
        <f>'4.'!U21</f>
        <v>158667000</v>
      </c>
      <c r="G49" s="179">
        <f>'4.'!V21</f>
        <v>94949248.890000001</v>
      </c>
      <c r="H49" s="193">
        <f>G49/F49</f>
        <v>0.59841837867987668</v>
      </c>
      <c r="I49" s="115"/>
    </row>
    <row r="50" spans="1:9" ht="20.100000000000001" customHeight="1">
      <c r="A50" s="174"/>
      <c r="B50" s="184" t="s">
        <v>178</v>
      </c>
      <c r="C50" s="2139" t="s">
        <v>99</v>
      </c>
      <c r="D50" s="2139"/>
      <c r="E50" s="179">
        <f>'4.'!T22</f>
        <v>10000000</v>
      </c>
      <c r="F50" s="179">
        <f>'4.'!U22</f>
        <v>10000000</v>
      </c>
      <c r="G50" s="179">
        <f>'4.'!V22</f>
        <v>3000000</v>
      </c>
      <c r="H50" s="193">
        <f>G50/F50</f>
        <v>0.3</v>
      </c>
      <c r="I50" s="115"/>
    </row>
    <row r="51" spans="1:9" ht="20.100000000000001" customHeight="1">
      <c r="A51" s="174"/>
      <c r="B51" s="184" t="s">
        <v>178</v>
      </c>
      <c r="C51" s="2139" t="s">
        <v>101</v>
      </c>
      <c r="D51" s="2139"/>
      <c r="E51" s="179">
        <f>'4.'!T23</f>
        <v>20665000</v>
      </c>
      <c r="F51" s="179">
        <f>'4.'!U23</f>
        <v>20665000</v>
      </c>
      <c r="G51" s="179">
        <f>'4.'!V23</f>
        <v>0</v>
      </c>
      <c r="H51" s="173">
        <f>G51/F51</f>
        <v>0</v>
      </c>
      <c r="I51" s="115"/>
    </row>
    <row r="52" spans="1:9" ht="20.100000000000001" customHeight="1">
      <c r="A52" s="174"/>
      <c r="B52" s="2139"/>
      <c r="C52" s="2139"/>
      <c r="D52" s="2139"/>
      <c r="E52" s="175"/>
      <c r="F52" s="176"/>
      <c r="G52" s="176"/>
      <c r="H52" s="173"/>
      <c r="I52" s="115"/>
    </row>
    <row r="53" spans="1:9" ht="20.100000000000001" customHeight="1">
      <c r="A53" s="1470" t="s">
        <v>85</v>
      </c>
      <c r="B53" s="2148" t="s">
        <v>164</v>
      </c>
      <c r="C53" s="2148"/>
      <c r="D53" s="2148"/>
      <c r="E53" s="1471">
        <f>SUM(E38,E47)</f>
        <v>5439963000</v>
      </c>
      <c r="F53" s="1471">
        <f>SUM(F38,F47)</f>
        <v>6288525693</v>
      </c>
      <c r="G53" s="1471">
        <f>SUM(G38,G47)</f>
        <v>2796878857.0299997</v>
      </c>
      <c r="H53" s="1472">
        <f>G53/F53</f>
        <v>0.44475907288465294</v>
      </c>
      <c r="I53" s="115"/>
    </row>
    <row r="54" spans="1:9" ht="20.100000000000001" customHeight="1">
      <c r="A54" s="174"/>
      <c r="B54" s="2139"/>
      <c r="C54" s="2139"/>
      <c r="D54" s="2139"/>
      <c r="E54" s="175"/>
      <c r="F54" s="176"/>
      <c r="G54" s="176"/>
      <c r="H54" s="186"/>
      <c r="I54" s="115"/>
    </row>
    <row r="55" spans="1:9" ht="20.100000000000001" customHeight="1">
      <c r="A55" s="1467" t="s">
        <v>185</v>
      </c>
      <c r="B55" s="2149" t="s">
        <v>104</v>
      </c>
      <c r="C55" s="2149"/>
      <c r="D55" s="2149"/>
      <c r="E55" s="1468">
        <f>'4.'!T25</f>
        <v>21153870</v>
      </c>
      <c r="F55" s="1468">
        <f>'4.'!U25</f>
        <v>293000938</v>
      </c>
      <c r="G55" s="1468">
        <f>'4.'!V25</f>
        <v>293000938</v>
      </c>
      <c r="H55" s="1469">
        <f>G55/F55</f>
        <v>1</v>
      </c>
      <c r="I55" s="115"/>
    </row>
    <row r="56" spans="1:9" ht="20.100000000000001" customHeight="1">
      <c r="A56" s="174"/>
      <c r="B56" s="2139"/>
      <c r="C56" s="2139"/>
      <c r="D56" s="2139"/>
      <c r="E56" s="175"/>
      <c r="F56" s="176"/>
      <c r="G56" s="176"/>
      <c r="H56" s="193"/>
      <c r="I56" s="115"/>
    </row>
    <row r="57" spans="1:9" ht="20.100000000000001" customHeight="1">
      <c r="A57" s="1464" t="s">
        <v>186</v>
      </c>
      <c r="B57" s="2158" t="s">
        <v>105</v>
      </c>
      <c r="C57" s="2158"/>
      <c r="D57" s="2158"/>
      <c r="E57" s="1465">
        <f>SUM(E53,E55)</f>
        <v>5461116870</v>
      </c>
      <c r="F57" s="1465">
        <f>SUM(F53,F55)</f>
        <v>6581526631</v>
      </c>
      <c r="G57" s="1465">
        <f>SUM(G53,G55)</f>
        <v>3089879795.0299997</v>
      </c>
      <c r="H57" s="1466">
        <f>G57/F57</f>
        <v>0.46947767110387306</v>
      </c>
      <c r="I57" s="115"/>
    </row>
    <row r="58" spans="1:9" ht="20.100000000000001" customHeight="1">
      <c r="A58" s="174"/>
      <c r="B58" s="2139"/>
      <c r="C58" s="2139"/>
      <c r="D58" s="2139"/>
      <c r="E58" s="41"/>
      <c r="F58" s="195"/>
      <c r="G58" s="195"/>
      <c r="H58" s="173"/>
      <c r="I58" s="115"/>
    </row>
    <row r="59" spans="1:9" ht="20.100000000000001" customHeight="1" thickBot="1">
      <c r="A59" s="196"/>
      <c r="B59" s="2159"/>
      <c r="C59" s="2159"/>
      <c r="D59" s="2159"/>
      <c r="E59" s="53"/>
      <c r="F59" s="197"/>
      <c r="G59" s="197"/>
      <c r="H59" s="198"/>
      <c r="I59" s="115"/>
    </row>
    <row r="60" spans="1:9" ht="20.100000000000001" customHeight="1" thickTop="1">
      <c r="A60" s="2160" t="s">
        <v>2191</v>
      </c>
      <c r="B60" s="2161"/>
      <c r="C60" s="2161"/>
      <c r="D60" s="2135"/>
      <c r="E60" s="199">
        <f>+'4.'!T27</f>
        <v>117</v>
      </c>
      <c r="F60" s="1459">
        <f>+'4.'!U27</f>
        <v>123</v>
      </c>
      <c r="G60" s="1459">
        <f>+'4.'!V27</f>
        <v>123</v>
      </c>
      <c r="H60" s="623">
        <f>G60/F60</f>
        <v>1</v>
      </c>
      <c r="I60" s="115"/>
    </row>
    <row r="61" spans="1:9" ht="20.100000000000001" customHeight="1">
      <c r="A61" s="2150" t="s">
        <v>2192</v>
      </c>
      <c r="B61" s="2151"/>
      <c r="C61" s="2151"/>
      <c r="D61" s="2136"/>
      <c r="E61" s="478">
        <f>+'4.'!T28</f>
        <v>0</v>
      </c>
      <c r="F61" s="479">
        <f>+'4.'!U28</f>
        <v>0</v>
      </c>
      <c r="G61" s="479">
        <f>+'4.'!V28</f>
        <v>0</v>
      </c>
      <c r="H61" s="173">
        <v>0</v>
      </c>
      <c r="I61" s="115"/>
    </row>
    <row r="62" spans="1:9" ht="20.100000000000001" customHeight="1">
      <c r="A62" s="2150" t="s">
        <v>2193</v>
      </c>
      <c r="B62" s="2151"/>
      <c r="C62" s="2151"/>
      <c r="D62" s="2136"/>
      <c r="E62" s="126">
        <f>+'4.'!T29</f>
        <v>8</v>
      </c>
      <c r="F62" s="126">
        <f>+'4.'!U29</f>
        <v>8</v>
      </c>
      <c r="G62" s="126">
        <f>+'4.'!V29</f>
        <v>8</v>
      </c>
      <c r="H62" s="173">
        <v>0</v>
      </c>
      <c r="I62" s="115"/>
    </row>
    <row r="63" spans="1:9" ht="20.100000000000001" customHeight="1">
      <c r="A63" s="2150" t="s">
        <v>2194</v>
      </c>
      <c r="B63" s="2151"/>
      <c r="C63" s="2151"/>
      <c r="D63" s="2136"/>
      <c r="E63" s="126">
        <f>+'4.'!T30</f>
        <v>0</v>
      </c>
      <c r="F63" s="200">
        <f>+'4.'!U30</f>
        <v>0</v>
      </c>
      <c r="G63" s="200">
        <f>+'4.'!V30</f>
        <v>0</v>
      </c>
      <c r="H63" s="173">
        <v>0</v>
      </c>
      <c r="I63" s="115"/>
    </row>
    <row r="64" spans="1:9" ht="20.100000000000001" customHeight="1">
      <c r="A64" s="2150" t="s">
        <v>2195</v>
      </c>
      <c r="B64" s="2151"/>
      <c r="C64" s="2151"/>
      <c r="D64" s="2136"/>
      <c r="E64" s="126">
        <v>0</v>
      </c>
      <c r="F64" s="200">
        <v>0</v>
      </c>
      <c r="G64" s="200">
        <v>0</v>
      </c>
      <c r="H64" s="173">
        <v>0</v>
      </c>
      <c r="I64" s="115"/>
    </row>
    <row r="65" spans="1:9" ht="20.100000000000001" customHeight="1" thickBot="1">
      <c r="A65" s="2152" t="s">
        <v>2196</v>
      </c>
      <c r="B65" s="2153"/>
      <c r="C65" s="2153"/>
      <c r="D65" s="2154"/>
      <c r="E65" s="1460">
        <f>+'4.'!T32</f>
        <v>31</v>
      </c>
      <c r="F65" s="1460">
        <f>+'4.'!U32</f>
        <v>32</v>
      </c>
      <c r="G65" s="1460">
        <f>+'4.'!V32</f>
        <v>32</v>
      </c>
      <c r="H65" s="1461">
        <f>G65/F65</f>
        <v>1</v>
      </c>
      <c r="I65" s="115"/>
    </row>
    <row r="66" spans="1:9" ht="20.100000000000001" customHeight="1" thickTop="1" thickBot="1">
      <c r="A66" s="2155" t="s">
        <v>2197</v>
      </c>
      <c r="B66" s="2156"/>
      <c r="C66" s="2156"/>
      <c r="D66" s="2157"/>
      <c r="E66" s="1462">
        <f>SUM(E60:E65)</f>
        <v>156</v>
      </c>
      <c r="F66" s="1462">
        <f>SUM(F60:F65)</f>
        <v>163</v>
      </c>
      <c r="G66" s="1462">
        <f>SUM(G60:G65)</f>
        <v>163</v>
      </c>
      <c r="H66" s="1463">
        <f>G66/F66</f>
        <v>1</v>
      </c>
      <c r="I66" s="115"/>
    </row>
    <row r="67" spans="1:9" ht="13.5" thickTop="1">
      <c r="A67"/>
    </row>
    <row r="68" spans="1:9">
      <c r="A68" s="115" t="s">
        <v>187</v>
      </c>
    </row>
  </sheetData>
  <mergeCells count="51">
    <mergeCell ref="A62:D62"/>
    <mergeCell ref="A64:D64"/>
    <mergeCell ref="A65:D65"/>
    <mergeCell ref="A66:D66"/>
    <mergeCell ref="B56:D56"/>
    <mergeCell ref="B57:D57"/>
    <mergeCell ref="B58:D58"/>
    <mergeCell ref="B59:D59"/>
    <mergeCell ref="A60:D60"/>
    <mergeCell ref="A61:D61"/>
    <mergeCell ref="A63:D63"/>
    <mergeCell ref="C51:D51"/>
    <mergeCell ref="B52:D52"/>
    <mergeCell ref="B53:D53"/>
    <mergeCell ref="B54:D54"/>
    <mergeCell ref="B55:D55"/>
    <mergeCell ref="B46:D46"/>
    <mergeCell ref="B47:D47"/>
    <mergeCell ref="C48:D48"/>
    <mergeCell ref="C49:D49"/>
    <mergeCell ref="C50:D50"/>
    <mergeCell ref="C41:D41"/>
    <mergeCell ref="C42:D42"/>
    <mergeCell ref="C43:D43"/>
    <mergeCell ref="C44:D44"/>
    <mergeCell ref="C45:D45"/>
    <mergeCell ref="A31:H31"/>
    <mergeCell ref="A33:H33"/>
    <mergeCell ref="B38:D38"/>
    <mergeCell ref="C39:D39"/>
    <mergeCell ref="C40:D40"/>
    <mergeCell ref="B25:D25"/>
    <mergeCell ref="B26:D26"/>
    <mergeCell ref="B27:D27"/>
    <mergeCell ref="A29:H29"/>
    <mergeCell ref="A30:H30"/>
    <mergeCell ref="B19:D19"/>
    <mergeCell ref="B20:D20"/>
    <mergeCell ref="B21:D21"/>
    <mergeCell ref="B23:D23"/>
    <mergeCell ref="B24:D24"/>
    <mergeCell ref="B13:D13"/>
    <mergeCell ref="B14:D14"/>
    <mergeCell ref="B15:D15"/>
    <mergeCell ref="B16:D16"/>
    <mergeCell ref="B18:D18"/>
    <mergeCell ref="A2:H2"/>
    <mergeCell ref="A4:H4"/>
    <mergeCell ref="A5:H5"/>
    <mergeCell ref="A6:H6"/>
    <mergeCell ref="A8:H8"/>
  </mergeCells>
  <printOptions headings="1"/>
  <pageMargins left="0.31496062992125984" right="0.31496062992125984" top="0.74803149606299213" bottom="0.35433070866141736" header="0.31496062992125984" footer="0.51181102362204722"/>
  <pageSetup paperSize="9" scale="88" firstPageNumber="0" orientation="portrait" r:id="rId1"/>
  <headerFooter>
    <oddHeader>&amp;R&amp;A melléklet a /2026.(V.28.) önkormányzati rendelethez/ &amp;P.oldal</oddHeader>
  </headerFooter>
  <rowBreaks count="1" manualBreakCount="1">
    <brk id="28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MK25"/>
  <sheetViews>
    <sheetView zoomScaleNormal="100" workbookViewId="0">
      <selection activeCell="I5" sqref="I5"/>
    </sheetView>
  </sheetViews>
  <sheetFormatPr defaultRowHeight="15.75"/>
  <cols>
    <col min="1" max="1" width="4" style="17"/>
    <col min="2" max="2" width="29.5703125" style="17"/>
    <col min="3" max="7" width="10.7109375" style="17"/>
    <col min="8" max="8" width="22.5703125" style="17"/>
    <col min="9" max="26" width="9.140625" style="17"/>
    <col min="27" max="28" width="0" style="17" hidden="1"/>
    <col min="29" max="1025" width="9.140625" style="17"/>
  </cols>
  <sheetData>
    <row r="1" spans="1:1024">
      <c r="A1"/>
      <c r="B1"/>
      <c r="C1"/>
      <c r="D1"/>
      <c r="E1"/>
      <c r="F1"/>
      <c r="G1"/>
      <c r="H1" s="20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3" spans="1:1024" ht="18.75">
      <c r="A3" s="2109" t="s">
        <v>169</v>
      </c>
      <c r="B3" s="2109"/>
      <c r="C3" s="2109"/>
      <c r="D3" s="2109"/>
      <c r="E3" s="2109"/>
      <c r="F3" s="2109"/>
      <c r="G3" s="2109"/>
      <c r="H3" s="2109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6" spans="1:1024" ht="18.75">
      <c r="A6" s="2026" t="s">
        <v>188</v>
      </c>
      <c r="B6" s="2026"/>
      <c r="C6" s="2026"/>
      <c r="D6" s="2026"/>
      <c r="E6" s="2026"/>
      <c r="F6" s="2026"/>
      <c r="G6" s="2026"/>
      <c r="H6" s="202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7.75" customHeight="1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25" customFormat="1" ht="63.75" customHeight="1">
      <c r="A9" s="90"/>
      <c r="B9" s="202" t="s">
        <v>167</v>
      </c>
      <c r="C9" s="202" t="s">
        <v>2198</v>
      </c>
      <c r="D9" s="202" t="s">
        <v>2199</v>
      </c>
      <c r="E9" s="202" t="s">
        <v>2200</v>
      </c>
      <c r="F9" s="202" t="s">
        <v>2201</v>
      </c>
      <c r="G9" s="202" t="s">
        <v>2202</v>
      </c>
      <c r="H9" s="202" t="s">
        <v>189</v>
      </c>
    </row>
    <row r="10" spans="1:1024" ht="35.1" customHeight="1">
      <c r="A10" s="29" t="s">
        <v>49</v>
      </c>
      <c r="B10" s="203"/>
      <c r="C10" s="204"/>
      <c r="D10" s="204"/>
      <c r="E10" s="204"/>
      <c r="F10" s="204"/>
      <c r="G10" s="204"/>
      <c r="H10" s="29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s="51" customFormat="1" ht="35.1" customHeight="1">
      <c r="A11" s="205"/>
      <c r="B11" s="206" t="s">
        <v>168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205"/>
    </row>
    <row r="12" spans="1:1024">
      <c r="I12" s="51"/>
    </row>
    <row r="13" spans="1:1024">
      <c r="I13" s="51"/>
    </row>
    <row r="14" spans="1:1024">
      <c r="I14" s="51"/>
    </row>
    <row r="15" spans="1:1024">
      <c r="I15" s="51"/>
    </row>
    <row r="16" spans="1:1024">
      <c r="I16" s="51"/>
    </row>
    <row r="17" spans="1:9" ht="51" customHeight="1">
      <c r="A17" s="17" t="s">
        <v>51</v>
      </c>
      <c r="B17" s="2162" t="s">
        <v>1633</v>
      </c>
      <c r="C17" s="2163"/>
      <c r="D17" s="2163"/>
      <c r="E17" s="2163"/>
      <c r="F17" s="2163"/>
      <c r="G17" s="2163"/>
      <c r="H17" s="2163"/>
      <c r="I17" s="51"/>
    </row>
    <row r="18" spans="1:9" ht="31.5">
      <c r="B18" s="2164" t="s">
        <v>1634</v>
      </c>
      <c r="C18" s="2164"/>
      <c r="D18" s="2164"/>
      <c r="E18" s="2164"/>
      <c r="F18" s="531" t="s">
        <v>1635</v>
      </c>
      <c r="G18" s="133"/>
      <c r="H18" s="161" t="s">
        <v>1636</v>
      </c>
      <c r="I18" s="51"/>
    </row>
    <row r="19" spans="1:9">
      <c r="B19" s="133" t="s">
        <v>1637</v>
      </c>
      <c r="C19" s="133"/>
      <c r="D19" s="133"/>
      <c r="E19" s="133"/>
      <c r="F19" s="135">
        <v>68</v>
      </c>
      <c r="G19" s="133"/>
      <c r="H19" s="135">
        <v>0</v>
      </c>
      <c r="I19" s="51"/>
    </row>
    <row r="20" spans="1:9">
      <c r="B20" s="133" t="s">
        <v>1638</v>
      </c>
      <c r="C20" s="133"/>
      <c r="D20" s="133"/>
      <c r="E20" s="133"/>
      <c r="F20" s="135">
        <v>1</v>
      </c>
      <c r="G20" s="133"/>
      <c r="H20" s="135">
        <v>0</v>
      </c>
      <c r="I20" s="51"/>
    </row>
    <row r="21" spans="1:9">
      <c r="I21" s="51"/>
    </row>
    <row r="22" spans="1:9">
      <c r="I22" s="51"/>
    </row>
    <row r="23" spans="1:9">
      <c r="I23" s="51"/>
    </row>
    <row r="24" spans="1:9">
      <c r="I24" s="51"/>
    </row>
    <row r="25" spans="1:9">
      <c r="I25" s="51"/>
    </row>
  </sheetData>
  <mergeCells count="4">
    <mergeCell ref="A3:H3"/>
    <mergeCell ref="A6:H6"/>
    <mergeCell ref="B17:H17"/>
    <mergeCell ref="B18:E18"/>
  </mergeCells>
  <printOptions headings="1"/>
  <pageMargins left="0.19685039370078741" right="0.19685039370078741" top="0.78740157480314965" bottom="0.98425196850393704" header="0.31496062992125984" footer="0.51181102362204722"/>
  <pageSetup paperSize="9" scale="85" firstPageNumber="0" orientation="portrait" r:id="rId1"/>
  <headerFooter>
    <oddHeader>&amp;R&amp;A melléklet a /2026.(V.28.) önkormányzati rendelethez/ &amp;P.oldal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33"/>
  <sheetViews>
    <sheetView zoomScaleNormal="100" workbookViewId="0">
      <selection activeCell="G5" sqref="G5"/>
    </sheetView>
  </sheetViews>
  <sheetFormatPr defaultRowHeight="12.75"/>
  <cols>
    <col min="1" max="1" width="2.7109375" customWidth="1"/>
    <col min="2" max="2" width="51.85546875" customWidth="1"/>
    <col min="3" max="3" width="24.28515625" customWidth="1"/>
    <col min="4" max="4" width="20.140625" bestFit="1" customWidth="1"/>
    <col min="5" max="5" width="8.28515625" bestFit="1" customWidth="1"/>
    <col min="26" max="27" width="0" hidden="1" customWidth="1"/>
    <col min="257" max="257" width="2.7109375" customWidth="1"/>
    <col min="258" max="258" width="51.85546875" customWidth="1"/>
    <col min="259" max="259" width="16.7109375" bestFit="1" customWidth="1"/>
    <col min="260" max="260" width="20.140625" bestFit="1" customWidth="1"/>
    <col min="261" max="261" width="8.28515625" bestFit="1" customWidth="1"/>
    <col min="282" max="283" width="0" hidden="1" customWidth="1"/>
    <col min="513" max="513" width="2.7109375" customWidth="1"/>
    <col min="514" max="514" width="51.85546875" customWidth="1"/>
    <col min="515" max="515" width="16.7109375" bestFit="1" customWidth="1"/>
    <col min="516" max="516" width="20.140625" bestFit="1" customWidth="1"/>
    <col min="517" max="517" width="8.28515625" bestFit="1" customWidth="1"/>
    <col min="538" max="539" width="0" hidden="1" customWidth="1"/>
    <col min="769" max="769" width="2.7109375" customWidth="1"/>
    <col min="770" max="770" width="51.85546875" customWidth="1"/>
    <col min="771" max="771" width="16.7109375" bestFit="1" customWidth="1"/>
    <col min="772" max="772" width="20.140625" bestFit="1" customWidth="1"/>
    <col min="773" max="773" width="8.28515625" bestFit="1" customWidth="1"/>
    <col min="794" max="795" width="0" hidden="1" customWidth="1"/>
    <col min="1025" max="1025" width="2.7109375" customWidth="1"/>
    <col min="1026" max="1026" width="51.85546875" customWidth="1"/>
    <col min="1027" max="1027" width="16.7109375" bestFit="1" customWidth="1"/>
    <col min="1028" max="1028" width="20.140625" bestFit="1" customWidth="1"/>
    <col min="1029" max="1029" width="8.28515625" bestFit="1" customWidth="1"/>
    <col min="1050" max="1051" width="0" hidden="1" customWidth="1"/>
    <col min="1281" max="1281" width="2.7109375" customWidth="1"/>
    <col min="1282" max="1282" width="51.85546875" customWidth="1"/>
    <col min="1283" max="1283" width="16.7109375" bestFit="1" customWidth="1"/>
    <col min="1284" max="1284" width="20.140625" bestFit="1" customWidth="1"/>
    <col min="1285" max="1285" width="8.28515625" bestFit="1" customWidth="1"/>
    <col min="1306" max="1307" width="0" hidden="1" customWidth="1"/>
    <col min="1537" max="1537" width="2.7109375" customWidth="1"/>
    <col min="1538" max="1538" width="51.85546875" customWidth="1"/>
    <col min="1539" max="1539" width="16.7109375" bestFit="1" customWidth="1"/>
    <col min="1540" max="1540" width="20.140625" bestFit="1" customWidth="1"/>
    <col min="1541" max="1541" width="8.28515625" bestFit="1" customWidth="1"/>
    <col min="1562" max="1563" width="0" hidden="1" customWidth="1"/>
    <col min="1793" max="1793" width="2.7109375" customWidth="1"/>
    <col min="1794" max="1794" width="51.85546875" customWidth="1"/>
    <col min="1795" max="1795" width="16.7109375" bestFit="1" customWidth="1"/>
    <col min="1796" max="1796" width="20.140625" bestFit="1" customWidth="1"/>
    <col min="1797" max="1797" width="8.28515625" bestFit="1" customWidth="1"/>
    <col min="1818" max="1819" width="0" hidden="1" customWidth="1"/>
    <col min="2049" max="2049" width="2.7109375" customWidth="1"/>
    <col min="2050" max="2050" width="51.85546875" customWidth="1"/>
    <col min="2051" max="2051" width="16.7109375" bestFit="1" customWidth="1"/>
    <col min="2052" max="2052" width="20.140625" bestFit="1" customWidth="1"/>
    <col min="2053" max="2053" width="8.28515625" bestFit="1" customWidth="1"/>
    <col min="2074" max="2075" width="0" hidden="1" customWidth="1"/>
    <col min="2305" max="2305" width="2.7109375" customWidth="1"/>
    <col min="2306" max="2306" width="51.85546875" customWidth="1"/>
    <col min="2307" max="2307" width="16.7109375" bestFit="1" customWidth="1"/>
    <col min="2308" max="2308" width="20.140625" bestFit="1" customWidth="1"/>
    <col min="2309" max="2309" width="8.28515625" bestFit="1" customWidth="1"/>
    <col min="2330" max="2331" width="0" hidden="1" customWidth="1"/>
    <col min="2561" max="2561" width="2.7109375" customWidth="1"/>
    <col min="2562" max="2562" width="51.85546875" customWidth="1"/>
    <col min="2563" max="2563" width="16.7109375" bestFit="1" customWidth="1"/>
    <col min="2564" max="2564" width="20.140625" bestFit="1" customWidth="1"/>
    <col min="2565" max="2565" width="8.28515625" bestFit="1" customWidth="1"/>
    <col min="2586" max="2587" width="0" hidden="1" customWidth="1"/>
    <col min="2817" max="2817" width="2.7109375" customWidth="1"/>
    <col min="2818" max="2818" width="51.85546875" customWidth="1"/>
    <col min="2819" max="2819" width="16.7109375" bestFit="1" customWidth="1"/>
    <col min="2820" max="2820" width="20.140625" bestFit="1" customWidth="1"/>
    <col min="2821" max="2821" width="8.28515625" bestFit="1" customWidth="1"/>
    <col min="2842" max="2843" width="0" hidden="1" customWidth="1"/>
    <col min="3073" max="3073" width="2.7109375" customWidth="1"/>
    <col min="3074" max="3074" width="51.85546875" customWidth="1"/>
    <col min="3075" max="3075" width="16.7109375" bestFit="1" customWidth="1"/>
    <col min="3076" max="3076" width="20.140625" bestFit="1" customWidth="1"/>
    <col min="3077" max="3077" width="8.28515625" bestFit="1" customWidth="1"/>
    <col min="3098" max="3099" width="0" hidden="1" customWidth="1"/>
    <col min="3329" max="3329" width="2.7109375" customWidth="1"/>
    <col min="3330" max="3330" width="51.85546875" customWidth="1"/>
    <col min="3331" max="3331" width="16.7109375" bestFit="1" customWidth="1"/>
    <col min="3332" max="3332" width="20.140625" bestFit="1" customWidth="1"/>
    <col min="3333" max="3333" width="8.28515625" bestFit="1" customWidth="1"/>
    <col min="3354" max="3355" width="0" hidden="1" customWidth="1"/>
    <col min="3585" max="3585" width="2.7109375" customWidth="1"/>
    <col min="3586" max="3586" width="51.85546875" customWidth="1"/>
    <col min="3587" max="3587" width="16.7109375" bestFit="1" customWidth="1"/>
    <col min="3588" max="3588" width="20.140625" bestFit="1" customWidth="1"/>
    <col min="3589" max="3589" width="8.28515625" bestFit="1" customWidth="1"/>
    <col min="3610" max="3611" width="0" hidden="1" customWidth="1"/>
    <col min="3841" max="3841" width="2.7109375" customWidth="1"/>
    <col min="3842" max="3842" width="51.85546875" customWidth="1"/>
    <col min="3843" max="3843" width="16.7109375" bestFit="1" customWidth="1"/>
    <col min="3844" max="3844" width="20.140625" bestFit="1" customWidth="1"/>
    <col min="3845" max="3845" width="8.28515625" bestFit="1" customWidth="1"/>
    <col min="3866" max="3867" width="0" hidden="1" customWidth="1"/>
    <col min="4097" max="4097" width="2.7109375" customWidth="1"/>
    <col min="4098" max="4098" width="51.85546875" customWidth="1"/>
    <col min="4099" max="4099" width="16.7109375" bestFit="1" customWidth="1"/>
    <col min="4100" max="4100" width="20.140625" bestFit="1" customWidth="1"/>
    <col min="4101" max="4101" width="8.28515625" bestFit="1" customWidth="1"/>
    <col min="4122" max="4123" width="0" hidden="1" customWidth="1"/>
    <col min="4353" max="4353" width="2.7109375" customWidth="1"/>
    <col min="4354" max="4354" width="51.85546875" customWidth="1"/>
    <col min="4355" max="4355" width="16.7109375" bestFit="1" customWidth="1"/>
    <col min="4356" max="4356" width="20.140625" bestFit="1" customWidth="1"/>
    <col min="4357" max="4357" width="8.28515625" bestFit="1" customWidth="1"/>
    <col min="4378" max="4379" width="0" hidden="1" customWidth="1"/>
    <col min="4609" max="4609" width="2.7109375" customWidth="1"/>
    <col min="4610" max="4610" width="51.85546875" customWidth="1"/>
    <col min="4611" max="4611" width="16.7109375" bestFit="1" customWidth="1"/>
    <col min="4612" max="4612" width="20.140625" bestFit="1" customWidth="1"/>
    <col min="4613" max="4613" width="8.28515625" bestFit="1" customWidth="1"/>
    <col min="4634" max="4635" width="0" hidden="1" customWidth="1"/>
    <col min="4865" max="4865" width="2.7109375" customWidth="1"/>
    <col min="4866" max="4866" width="51.85546875" customWidth="1"/>
    <col min="4867" max="4867" width="16.7109375" bestFit="1" customWidth="1"/>
    <col min="4868" max="4868" width="20.140625" bestFit="1" customWidth="1"/>
    <col min="4869" max="4869" width="8.28515625" bestFit="1" customWidth="1"/>
    <col min="4890" max="4891" width="0" hidden="1" customWidth="1"/>
    <col min="5121" max="5121" width="2.7109375" customWidth="1"/>
    <col min="5122" max="5122" width="51.85546875" customWidth="1"/>
    <col min="5123" max="5123" width="16.7109375" bestFit="1" customWidth="1"/>
    <col min="5124" max="5124" width="20.140625" bestFit="1" customWidth="1"/>
    <col min="5125" max="5125" width="8.28515625" bestFit="1" customWidth="1"/>
    <col min="5146" max="5147" width="0" hidden="1" customWidth="1"/>
    <col min="5377" max="5377" width="2.7109375" customWidth="1"/>
    <col min="5378" max="5378" width="51.85546875" customWidth="1"/>
    <col min="5379" max="5379" width="16.7109375" bestFit="1" customWidth="1"/>
    <col min="5380" max="5380" width="20.140625" bestFit="1" customWidth="1"/>
    <col min="5381" max="5381" width="8.28515625" bestFit="1" customWidth="1"/>
    <col min="5402" max="5403" width="0" hidden="1" customWidth="1"/>
    <col min="5633" max="5633" width="2.7109375" customWidth="1"/>
    <col min="5634" max="5634" width="51.85546875" customWidth="1"/>
    <col min="5635" max="5635" width="16.7109375" bestFit="1" customWidth="1"/>
    <col min="5636" max="5636" width="20.140625" bestFit="1" customWidth="1"/>
    <col min="5637" max="5637" width="8.28515625" bestFit="1" customWidth="1"/>
    <col min="5658" max="5659" width="0" hidden="1" customWidth="1"/>
    <col min="5889" max="5889" width="2.7109375" customWidth="1"/>
    <col min="5890" max="5890" width="51.85546875" customWidth="1"/>
    <col min="5891" max="5891" width="16.7109375" bestFit="1" customWidth="1"/>
    <col min="5892" max="5892" width="20.140625" bestFit="1" customWidth="1"/>
    <col min="5893" max="5893" width="8.28515625" bestFit="1" customWidth="1"/>
    <col min="5914" max="5915" width="0" hidden="1" customWidth="1"/>
    <col min="6145" max="6145" width="2.7109375" customWidth="1"/>
    <col min="6146" max="6146" width="51.85546875" customWidth="1"/>
    <col min="6147" max="6147" width="16.7109375" bestFit="1" customWidth="1"/>
    <col min="6148" max="6148" width="20.140625" bestFit="1" customWidth="1"/>
    <col min="6149" max="6149" width="8.28515625" bestFit="1" customWidth="1"/>
    <col min="6170" max="6171" width="0" hidden="1" customWidth="1"/>
    <col min="6401" max="6401" width="2.7109375" customWidth="1"/>
    <col min="6402" max="6402" width="51.85546875" customWidth="1"/>
    <col min="6403" max="6403" width="16.7109375" bestFit="1" customWidth="1"/>
    <col min="6404" max="6404" width="20.140625" bestFit="1" customWidth="1"/>
    <col min="6405" max="6405" width="8.28515625" bestFit="1" customWidth="1"/>
    <col min="6426" max="6427" width="0" hidden="1" customWidth="1"/>
    <col min="6657" max="6657" width="2.7109375" customWidth="1"/>
    <col min="6658" max="6658" width="51.85546875" customWidth="1"/>
    <col min="6659" max="6659" width="16.7109375" bestFit="1" customWidth="1"/>
    <col min="6660" max="6660" width="20.140625" bestFit="1" customWidth="1"/>
    <col min="6661" max="6661" width="8.28515625" bestFit="1" customWidth="1"/>
    <col min="6682" max="6683" width="0" hidden="1" customWidth="1"/>
    <col min="6913" max="6913" width="2.7109375" customWidth="1"/>
    <col min="6914" max="6914" width="51.85546875" customWidth="1"/>
    <col min="6915" max="6915" width="16.7109375" bestFit="1" customWidth="1"/>
    <col min="6916" max="6916" width="20.140625" bestFit="1" customWidth="1"/>
    <col min="6917" max="6917" width="8.28515625" bestFit="1" customWidth="1"/>
    <col min="6938" max="6939" width="0" hidden="1" customWidth="1"/>
    <col min="7169" max="7169" width="2.7109375" customWidth="1"/>
    <col min="7170" max="7170" width="51.85546875" customWidth="1"/>
    <col min="7171" max="7171" width="16.7109375" bestFit="1" customWidth="1"/>
    <col min="7172" max="7172" width="20.140625" bestFit="1" customWidth="1"/>
    <col min="7173" max="7173" width="8.28515625" bestFit="1" customWidth="1"/>
    <col min="7194" max="7195" width="0" hidden="1" customWidth="1"/>
    <col min="7425" max="7425" width="2.7109375" customWidth="1"/>
    <col min="7426" max="7426" width="51.85546875" customWidth="1"/>
    <col min="7427" max="7427" width="16.7109375" bestFit="1" customWidth="1"/>
    <col min="7428" max="7428" width="20.140625" bestFit="1" customWidth="1"/>
    <col min="7429" max="7429" width="8.28515625" bestFit="1" customWidth="1"/>
    <col min="7450" max="7451" width="0" hidden="1" customWidth="1"/>
    <col min="7681" max="7681" width="2.7109375" customWidth="1"/>
    <col min="7682" max="7682" width="51.85546875" customWidth="1"/>
    <col min="7683" max="7683" width="16.7109375" bestFit="1" customWidth="1"/>
    <col min="7684" max="7684" width="20.140625" bestFit="1" customWidth="1"/>
    <col min="7685" max="7685" width="8.28515625" bestFit="1" customWidth="1"/>
    <col min="7706" max="7707" width="0" hidden="1" customWidth="1"/>
    <col min="7937" max="7937" width="2.7109375" customWidth="1"/>
    <col min="7938" max="7938" width="51.85546875" customWidth="1"/>
    <col min="7939" max="7939" width="16.7109375" bestFit="1" customWidth="1"/>
    <col min="7940" max="7940" width="20.140625" bestFit="1" customWidth="1"/>
    <col min="7941" max="7941" width="8.28515625" bestFit="1" customWidth="1"/>
    <col min="7962" max="7963" width="0" hidden="1" customWidth="1"/>
    <col min="8193" max="8193" width="2.7109375" customWidth="1"/>
    <col min="8194" max="8194" width="51.85546875" customWidth="1"/>
    <col min="8195" max="8195" width="16.7109375" bestFit="1" customWidth="1"/>
    <col min="8196" max="8196" width="20.140625" bestFit="1" customWidth="1"/>
    <col min="8197" max="8197" width="8.28515625" bestFit="1" customWidth="1"/>
    <col min="8218" max="8219" width="0" hidden="1" customWidth="1"/>
    <col min="8449" max="8449" width="2.7109375" customWidth="1"/>
    <col min="8450" max="8450" width="51.85546875" customWidth="1"/>
    <col min="8451" max="8451" width="16.7109375" bestFit="1" customWidth="1"/>
    <col min="8452" max="8452" width="20.140625" bestFit="1" customWidth="1"/>
    <col min="8453" max="8453" width="8.28515625" bestFit="1" customWidth="1"/>
    <col min="8474" max="8475" width="0" hidden="1" customWidth="1"/>
    <col min="8705" max="8705" width="2.7109375" customWidth="1"/>
    <col min="8706" max="8706" width="51.85546875" customWidth="1"/>
    <col min="8707" max="8707" width="16.7109375" bestFit="1" customWidth="1"/>
    <col min="8708" max="8708" width="20.140625" bestFit="1" customWidth="1"/>
    <col min="8709" max="8709" width="8.28515625" bestFit="1" customWidth="1"/>
    <col min="8730" max="8731" width="0" hidden="1" customWidth="1"/>
    <col min="8961" max="8961" width="2.7109375" customWidth="1"/>
    <col min="8962" max="8962" width="51.85546875" customWidth="1"/>
    <col min="8963" max="8963" width="16.7109375" bestFit="1" customWidth="1"/>
    <col min="8964" max="8964" width="20.140625" bestFit="1" customWidth="1"/>
    <col min="8965" max="8965" width="8.28515625" bestFit="1" customWidth="1"/>
    <col min="8986" max="8987" width="0" hidden="1" customWidth="1"/>
    <col min="9217" max="9217" width="2.7109375" customWidth="1"/>
    <col min="9218" max="9218" width="51.85546875" customWidth="1"/>
    <col min="9219" max="9219" width="16.7109375" bestFit="1" customWidth="1"/>
    <col min="9220" max="9220" width="20.140625" bestFit="1" customWidth="1"/>
    <col min="9221" max="9221" width="8.28515625" bestFit="1" customWidth="1"/>
    <col min="9242" max="9243" width="0" hidden="1" customWidth="1"/>
    <col min="9473" max="9473" width="2.7109375" customWidth="1"/>
    <col min="9474" max="9474" width="51.85546875" customWidth="1"/>
    <col min="9475" max="9475" width="16.7109375" bestFit="1" customWidth="1"/>
    <col min="9476" max="9476" width="20.140625" bestFit="1" customWidth="1"/>
    <col min="9477" max="9477" width="8.28515625" bestFit="1" customWidth="1"/>
    <col min="9498" max="9499" width="0" hidden="1" customWidth="1"/>
    <col min="9729" max="9729" width="2.7109375" customWidth="1"/>
    <col min="9730" max="9730" width="51.85546875" customWidth="1"/>
    <col min="9731" max="9731" width="16.7109375" bestFit="1" customWidth="1"/>
    <col min="9732" max="9732" width="20.140625" bestFit="1" customWidth="1"/>
    <col min="9733" max="9733" width="8.28515625" bestFit="1" customWidth="1"/>
    <col min="9754" max="9755" width="0" hidden="1" customWidth="1"/>
    <col min="9985" max="9985" width="2.7109375" customWidth="1"/>
    <col min="9986" max="9986" width="51.85546875" customWidth="1"/>
    <col min="9987" max="9987" width="16.7109375" bestFit="1" customWidth="1"/>
    <col min="9988" max="9988" width="20.140625" bestFit="1" customWidth="1"/>
    <col min="9989" max="9989" width="8.28515625" bestFit="1" customWidth="1"/>
    <col min="10010" max="10011" width="0" hidden="1" customWidth="1"/>
    <col min="10241" max="10241" width="2.7109375" customWidth="1"/>
    <col min="10242" max="10242" width="51.85546875" customWidth="1"/>
    <col min="10243" max="10243" width="16.7109375" bestFit="1" customWidth="1"/>
    <col min="10244" max="10244" width="20.140625" bestFit="1" customWidth="1"/>
    <col min="10245" max="10245" width="8.28515625" bestFit="1" customWidth="1"/>
    <col min="10266" max="10267" width="0" hidden="1" customWidth="1"/>
    <col min="10497" max="10497" width="2.7109375" customWidth="1"/>
    <col min="10498" max="10498" width="51.85546875" customWidth="1"/>
    <col min="10499" max="10499" width="16.7109375" bestFit="1" customWidth="1"/>
    <col min="10500" max="10500" width="20.140625" bestFit="1" customWidth="1"/>
    <col min="10501" max="10501" width="8.28515625" bestFit="1" customWidth="1"/>
    <col min="10522" max="10523" width="0" hidden="1" customWidth="1"/>
    <col min="10753" max="10753" width="2.7109375" customWidth="1"/>
    <col min="10754" max="10754" width="51.85546875" customWidth="1"/>
    <col min="10755" max="10755" width="16.7109375" bestFit="1" customWidth="1"/>
    <col min="10756" max="10756" width="20.140625" bestFit="1" customWidth="1"/>
    <col min="10757" max="10757" width="8.28515625" bestFit="1" customWidth="1"/>
    <col min="10778" max="10779" width="0" hidden="1" customWidth="1"/>
    <col min="11009" max="11009" width="2.7109375" customWidth="1"/>
    <col min="11010" max="11010" width="51.85546875" customWidth="1"/>
    <col min="11011" max="11011" width="16.7109375" bestFit="1" customWidth="1"/>
    <col min="11012" max="11012" width="20.140625" bestFit="1" customWidth="1"/>
    <col min="11013" max="11013" width="8.28515625" bestFit="1" customWidth="1"/>
    <col min="11034" max="11035" width="0" hidden="1" customWidth="1"/>
    <col min="11265" max="11265" width="2.7109375" customWidth="1"/>
    <col min="11266" max="11266" width="51.85546875" customWidth="1"/>
    <col min="11267" max="11267" width="16.7109375" bestFit="1" customWidth="1"/>
    <col min="11268" max="11268" width="20.140625" bestFit="1" customWidth="1"/>
    <col min="11269" max="11269" width="8.28515625" bestFit="1" customWidth="1"/>
    <col min="11290" max="11291" width="0" hidden="1" customWidth="1"/>
    <col min="11521" max="11521" width="2.7109375" customWidth="1"/>
    <col min="11522" max="11522" width="51.85546875" customWidth="1"/>
    <col min="11523" max="11523" width="16.7109375" bestFit="1" customWidth="1"/>
    <col min="11524" max="11524" width="20.140625" bestFit="1" customWidth="1"/>
    <col min="11525" max="11525" width="8.28515625" bestFit="1" customWidth="1"/>
    <col min="11546" max="11547" width="0" hidden="1" customWidth="1"/>
    <col min="11777" max="11777" width="2.7109375" customWidth="1"/>
    <col min="11778" max="11778" width="51.85546875" customWidth="1"/>
    <col min="11779" max="11779" width="16.7109375" bestFit="1" customWidth="1"/>
    <col min="11780" max="11780" width="20.140625" bestFit="1" customWidth="1"/>
    <col min="11781" max="11781" width="8.28515625" bestFit="1" customWidth="1"/>
    <col min="11802" max="11803" width="0" hidden="1" customWidth="1"/>
    <col min="12033" max="12033" width="2.7109375" customWidth="1"/>
    <col min="12034" max="12034" width="51.85546875" customWidth="1"/>
    <col min="12035" max="12035" width="16.7109375" bestFit="1" customWidth="1"/>
    <col min="12036" max="12036" width="20.140625" bestFit="1" customWidth="1"/>
    <col min="12037" max="12037" width="8.28515625" bestFit="1" customWidth="1"/>
    <col min="12058" max="12059" width="0" hidden="1" customWidth="1"/>
    <col min="12289" max="12289" width="2.7109375" customWidth="1"/>
    <col min="12290" max="12290" width="51.85546875" customWidth="1"/>
    <col min="12291" max="12291" width="16.7109375" bestFit="1" customWidth="1"/>
    <col min="12292" max="12292" width="20.140625" bestFit="1" customWidth="1"/>
    <col min="12293" max="12293" width="8.28515625" bestFit="1" customWidth="1"/>
    <col min="12314" max="12315" width="0" hidden="1" customWidth="1"/>
    <col min="12545" max="12545" width="2.7109375" customWidth="1"/>
    <col min="12546" max="12546" width="51.85546875" customWidth="1"/>
    <col min="12547" max="12547" width="16.7109375" bestFit="1" customWidth="1"/>
    <col min="12548" max="12548" width="20.140625" bestFit="1" customWidth="1"/>
    <col min="12549" max="12549" width="8.28515625" bestFit="1" customWidth="1"/>
    <col min="12570" max="12571" width="0" hidden="1" customWidth="1"/>
    <col min="12801" max="12801" width="2.7109375" customWidth="1"/>
    <col min="12802" max="12802" width="51.85546875" customWidth="1"/>
    <col min="12803" max="12803" width="16.7109375" bestFit="1" customWidth="1"/>
    <col min="12804" max="12804" width="20.140625" bestFit="1" customWidth="1"/>
    <col min="12805" max="12805" width="8.28515625" bestFit="1" customWidth="1"/>
    <col min="12826" max="12827" width="0" hidden="1" customWidth="1"/>
    <col min="13057" max="13057" width="2.7109375" customWidth="1"/>
    <col min="13058" max="13058" width="51.85546875" customWidth="1"/>
    <col min="13059" max="13059" width="16.7109375" bestFit="1" customWidth="1"/>
    <col min="13060" max="13060" width="20.140625" bestFit="1" customWidth="1"/>
    <col min="13061" max="13061" width="8.28515625" bestFit="1" customWidth="1"/>
    <col min="13082" max="13083" width="0" hidden="1" customWidth="1"/>
    <col min="13313" max="13313" width="2.7109375" customWidth="1"/>
    <col min="13314" max="13314" width="51.85546875" customWidth="1"/>
    <col min="13315" max="13315" width="16.7109375" bestFit="1" customWidth="1"/>
    <col min="13316" max="13316" width="20.140625" bestFit="1" customWidth="1"/>
    <col min="13317" max="13317" width="8.28515625" bestFit="1" customWidth="1"/>
    <col min="13338" max="13339" width="0" hidden="1" customWidth="1"/>
    <col min="13569" max="13569" width="2.7109375" customWidth="1"/>
    <col min="13570" max="13570" width="51.85546875" customWidth="1"/>
    <col min="13571" max="13571" width="16.7109375" bestFit="1" customWidth="1"/>
    <col min="13572" max="13572" width="20.140625" bestFit="1" customWidth="1"/>
    <col min="13573" max="13573" width="8.28515625" bestFit="1" customWidth="1"/>
    <col min="13594" max="13595" width="0" hidden="1" customWidth="1"/>
    <col min="13825" max="13825" width="2.7109375" customWidth="1"/>
    <col min="13826" max="13826" width="51.85546875" customWidth="1"/>
    <col min="13827" max="13827" width="16.7109375" bestFit="1" customWidth="1"/>
    <col min="13828" max="13828" width="20.140625" bestFit="1" customWidth="1"/>
    <col min="13829" max="13829" width="8.28515625" bestFit="1" customWidth="1"/>
    <col min="13850" max="13851" width="0" hidden="1" customWidth="1"/>
    <col min="14081" max="14081" width="2.7109375" customWidth="1"/>
    <col min="14082" max="14082" width="51.85546875" customWidth="1"/>
    <col min="14083" max="14083" width="16.7109375" bestFit="1" customWidth="1"/>
    <col min="14084" max="14084" width="20.140625" bestFit="1" customWidth="1"/>
    <col min="14085" max="14085" width="8.28515625" bestFit="1" customWidth="1"/>
    <col min="14106" max="14107" width="0" hidden="1" customWidth="1"/>
    <col min="14337" max="14337" width="2.7109375" customWidth="1"/>
    <col min="14338" max="14338" width="51.85546875" customWidth="1"/>
    <col min="14339" max="14339" width="16.7109375" bestFit="1" customWidth="1"/>
    <col min="14340" max="14340" width="20.140625" bestFit="1" customWidth="1"/>
    <col min="14341" max="14341" width="8.28515625" bestFit="1" customWidth="1"/>
    <col min="14362" max="14363" width="0" hidden="1" customWidth="1"/>
    <col min="14593" max="14593" width="2.7109375" customWidth="1"/>
    <col min="14594" max="14594" width="51.85546875" customWidth="1"/>
    <col min="14595" max="14595" width="16.7109375" bestFit="1" customWidth="1"/>
    <col min="14596" max="14596" width="20.140625" bestFit="1" customWidth="1"/>
    <col min="14597" max="14597" width="8.28515625" bestFit="1" customWidth="1"/>
    <col min="14618" max="14619" width="0" hidden="1" customWidth="1"/>
    <col min="14849" max="14849" width="2.7109375" customWidth="1"/>
    <col min="14850" max="14850" width="51.85546875" customWidth="1"/>
    <col min="14851" max="14851" width="16.7109375" bestFit="1" customWidth="1"/>
    <col min="14852" max="14852" width="20.140625" bestFit="1" customWidth="1"/>
    <col min="14853" max="14853" width="8.28515625" bestFit="1" customWidth="1"/>
    <col min="14874" max="14875" width="0" hidden="1" customWidth="1"/>
    <col min="15105" max="15105" width="2.7109375" customWidth="1"/>
    <col min="15106" max="15106" width="51.85546875" customWidth="1"/>
    <col min="15107" max="15107" width="16.7109375" bestFit="1" customWidth="1"/>
    <col min="15108" max="15108" width="20.140625" bestFit="1" customWidth="1"/>
    <col min="15109" max="15109" width="8.28515625" bestFit="1" customWidth="1"/>
    <col min="15130" max="15131" width="0" hidden="1" customWidth="1"/>
    <col min="15361" max="15361" width="2.7109375" customWidth="1"/>
    <col min="15362" max="15362" width="51.85546875" customWidth="1"/>
    <col min="15363" max="15363" width="16.7109375" bestFit="1" customWidth="1"/>
    <col min="15364" max="15364" width="20.140625" bestFit="1" customWidth="1"/>
    <col min="15365" max="15365" width="8.28515625" bestFit="1" customWidth="1"/>
    <col min="15386" max="15387" width="0" hidden="1" customWidth="1"/>
    <col min="15617" max="15617" width="2.7109375" customWidth="1"/>
    <col min="15618" max="15618" width="51.85546875" customWidth="1"/>
    <col min="15619" max="15619" width="16.7109375" bestFit="1" customWidth="1"/>
    <col min="15620" max="15620" width="20.140625" bestFit="1" customWidth="1"/>
    <col min="15621" max="15621" width="8.28515625" bestFit="1" customWidth="1"/>
    <col min="15642" max="15643" width="0" hidden="1" customWidth="1"/>
    <col min="15873" max="15873" width="2.7109375" customWidth="1"/>
    <col min="15874" max="15874" width="51.85546875" customWidth="1"/>
    <col min="15875" max="15875" width="16.7109375" bestFit="1" customWidth="1"/>
    <col min="15876" max="15876" width="20.140625" bestFit="1" customWidth="1"/>
    <col min="15877" max="15877" width="8.28515625" bestFit="1" customWidth="1"/>
    <col min="15898" max="15899" width="0" hidden="1" customWidth="1"/>
    <col min="16129" max="16129" width="2.7109375" customWidth="1"/>
    <col min="16130" max="16130" width="51.85546875" customWidth="1"/>
    <col min="16131" max="16131" width="16.7109375" bestFit="1" customWidth="1"/>
    <col min="16132" max="16132" width="20.140625" bestFit="1" customWidth="1"/>
    <col min="16133" max="16133" width="8.28515625" bestFit="1" customWidth="1"/>
    <col min="16154" max="16155" width="0" hidden="1" customWidth="1"/>
  </cols>
  <sheetData>
    <row r="1" spans="1:10">
      <c r="A1" s="49"/>
      <c r="B1" s="49"/>
      <c r="C1" s="49"/>
      <c r="D1" s="49"/>
      <c r="E1" s="49"/>
    </row>
    <row r="2" spans="1:10">
      <c r="A2" s="49"/>
      <c r="B2" s="49"/>
      <c r="C2" s="49"/>
      <c r="D2" s="49"/>
      <c r="E2" s="49"/>
    </row>
    <row r="3" spans="1:10" ht="18.75">
      <c r="A3" s="2167" t="s">
        <v>169</v>
      </c>
      <c r="B3" s="2167"/>
      <c r="C3" s="2167"/>
      <c r="D3" s="2167"/>
      <c r="E3" s="2167"/>
    </row>
    <row r="4" spans="1:10" ht="12.75" customHeight="1">
      <c r="A4" s="4"/>
      <c r="B4" s="4"/>
      <c r="C4" s="1140"/>
      <c r="D4" s="49"/>
      <c r="E4" s="49"/>
    </row>
    <row r="5" spans="1:10" ht="15.75">
      <c r="A5" s="4"/>
      <c r="B5" s="4"/>
      <c r="C5" s="4"/>
      <c r="D5" s="49"/>
      <c r="E5" s="49"/>
    </row>
    <row r="6" spans="1:10" ht="18.75">
      <c r="A6" s="2165" t="s">
        <v>2143</v>
      </c>
      <c r="B6" s="2165"/>
      <c r="C6" s="2165"/>
      <c r="D6" s="2165"/>
      <c r="E6" s="2165"/>
    </row>
    <row r="7" spans="1:10" ht="18.75">
      <c r="A7" s="2166"/>
      <c r="B7" s="2166"/>
      <c r="C7" s="2166"/>
      <c r="D7" s="49"/>
      <c r="E7" s="49"/>
    </row>
    <row r="8" spans="1:10" ht="18.75">
      <c r="A8" s="207"/>
      <c r="B8" s="1141"/>
      <c r="C8" s="1141"/>
      <c r="D8" s="4"/>
      <c r="E8" s="4"/>
    </row>
    <row r="9" spans="1:10" ht="18.75">
      <c r="A9" s="207"/>
      <c r="B9" s="1141"/>
      <c r="C9" s="1141"/>
      <c r="D9" s="4"/>
      <c r="E9" s="4" t="s">
        <v>38</v>
      </c>
    </row>
    <row r="10" spans="1:10" ht="15.75">
      <c r="A10" s="4"/>
      <c r="B10" s="175"/>
      <c r="C10" s="1142" t="s">
        <v>2136</v>
      </c>
      <c r="D10" s="1142" t="s">
        <v>2137</v>
      </c>
      <c r="E10" s="38" t="s">
        <v>2138</v>
      </c>
    </row>
    <row r="11" spans="1:10" ht="15.75">
      <c r="A11" s="4"/>
      <c r="B11" s="175"/>
      <c r="C11" s="175"/>
      <c r="D11" s="175"/>
      <c r="E11" s="175"/>
    </row>
    <row r="12" spans="1:10" ht="15.75">
      <c r="A12" s="4"/>
      <c r="B12" s="1158" t="s">
        <v>2139</v>
      </c>
      <c r="C12" s="1143"/>
      <c r="D12" s="1143"/>
      <c r="E12" s="1159">
        <v>407000</v>
      </c>
      <c r="I12" s="1"/>
      <c r="J12" s="1"/>
    </row>
    <row r="13" spans="1:10" ht="15.75">
      <c r="A13" s="4"/>
      <c r="B13" s="175"/>
      <c r="C13" s="1143"/>
      <c r="D13" s="1143"/>
      <c r="E13" s="175"/>
      <c r="I13" s="1"/>
      <c r="J13" s="1"/>
    </row>
    <row r="14" spans="1:10" ht="20.25">
      <c r="A14" s="4"/>
      <c r="B14" s="1148" t="s">
        <v>2145</v>
      </c>
      <c r="C14" s="1147"/>
      <c r="D14" s="1147"/>
      <c r="E14" s="1146"/>
      <c r="I14" s="1"/>
      <c r="J14" s="1"/>
    </row>
    <row r="15" spans="1:10" ht="15.75">
      <c r="A15" s="4"/>
      <c r="B15" s="185"/>
      <c r="C15" s="1143"/>
      <c r="D15" s="1143"/>
      <c r="E15" s="175"/>
      <c r="I15" s="1"/>
      <c r="J15" s="1"/>
    </row>
    <row r="16" spans="1:10" ht="15.75">
      <c r="A16" s="4"/>
      <c r="B16" s="175" t="s">
        <v>2140</v>
      </c>
      <c r="C16" s="1143">
        <v>0</v>
      </c>
      <c r="D16" s="1143">
        <v>0</v>
      </c>
      <c r="E16" s="1144">
        <v>75000</v>
      </c>
      <c r="I16" s="1"/>
      <c r="J16" s="1"/>
    </row>
    <row r="17" spans="1:10" ht="16.5" thickBot="1">
      <c r="A17" s="4"/>
      <c r="B17" s="1149" t="s">
        <v>2141</v>
      </c>
      <c r="C17" s="1150">
        <v>0</v>
      </c>
      <c r="D17" s="1150">
        <v>0</v>
      </c>
      <c r="E17" s="1151">
        <f>908.95+959.29+1064.63+1031.43+1032.01+1068.67+1071.02+1004.12+1110.27+1078.02+953.73+504.59</f>
        <v>11786.73</v>
      </c>
      <c r="I17" s="1"/>
      <c r="J17" s="1"/>
    </row>
    <row r="18" spans="1:10" ht="21" thickTop="1">
      <c r="A18" s="4"/>
      <c r="B18" s="1161" t="s">
        <v>2144</v>
      </c>
      <c r="C18" s="1162">
        <f>SUM(C16:C17)</f>
        <v>0</v>
      </c>
      <c r="D18" s="1162">
        <f>SUM(D16:D17)</f>
        <v>0</v>
      </c>
      <c r="E18" s="1163">
        <f>+E17+E16</f>
        <v>86786.73</v>
      </c>
      <c r="I18" s="1"/>
      <c r="J18" s="1"/>
    </row>
    <row r="19" spans="1:10" ht="15.75">
      <c r="A19" s="4"/>
      <c r="B19" s="1152"/>
      <c r="C19" s="1153"/>
      <c r="D19" s="1153"/>
      <c r="E19" s="1154"/>
      <c r="I19" s="1"/>
      <c r="J19" s="1"/>
    </row>
    <row r="20" spans="1:10" ht="15.75">
      <c r="A20" s="4"/>
      <c r="B20" s="1155" t="s">
        <v>2142</v>
      </c>
      <c r="C20" s="1143"/>
      <c r="D20" s="1143"/>
      <c r="E20" s="175"/>
      <c r="I20" s="1"/>
      <c r="J20" s="1"/>
    </row>
    <row r="21" spans="1:10" ht="15.75">
      <c r="A21" s="4"/>
      <c r="B21" s="175" t="s">
        <v>2146</v>
      </c>
      <c r="C21" s="1143">
        <v>0</v>
      </c>
      <c r="D21" s="1143">
        <v>0</v>
      </c>
      <c r="E21" s="1144">
        <v>104013</v>
      </c>
    </row>
    <row r="22" spans="1:10" ht="15.75">
      <c r="A22" s="4"/>
      <c r="B22" s="175" t="s">
        <v>2150</v>
      </c>
      <c r="C22" s="1143">
        <v>0</v>
      </c>
      <c r="D22" s="1143">
        <v>0</v>
      </c>
      <c r="E22" s="1144">
        <v>196400</v>
      </c>
    </row>
    <row r="23" spans="1:10" ht="16.5" thickBot="1">
      <c r="A23" s="4"/>
      <c r="B23" s="53" t="s">
        <v>2147</v>
      </c>
      <c r="C23" s="1156">
        <v>0</v>
      </c>
      <c r="D23" s="1150">
        <v>0</v>
      </c>
      <c r="E23" s="1157">
        <f>234.03+31.2+441.9+58.92</f>
        <v>766.05</v>
      </c>
    </row>
    <row r="24" spans="1:10" ht="16.5" thickTop="1">
      <c r="A24" s="4"/>
      <c r="B24" s="1164" t="s">
        <v>2149</v>
      </c>
      <c r="C24" s="1165">
        <f>SUM(C21:C23)</f>
        <v>0</v>
      </c>
      <c r="D24" s="1165">
        <f>SUM(D21:D23)</f>
        <v>0</v>
      </c>
      <c r="E24" s="1166">
        <f>SUM(E21:E23)</f>
        <v>301179.05</v>
      </c>
    </row>
    <row r="25" spans="1:10" ht="15.75">
      <c r="A25" s="4"/>
      <c r="B25" s="41"/>
      <c r="C25" s="1145"/>
      <c r="D25" s="1143"/>
      <c r="E25" s="175"/>
    </row>
    <row r="26" spans="1:10" ht="15.75">
      <c r="A26" s="4"/>
      <c r="B26" s="41"/>
      <c r="C26" s="1145"/>
      <c r="D26" s="1143"/>
      <c r="E26" s="175"/>
    </row>
    <row r="27" spans="1:10" ht="15.75">
      <c r="A27" s="4"/>
      <c r="B27" s="41"/>
      <c r="C27" s="1145"/>
      <c r="D27" s="1143"/>
      <c r="E27" s="175"/>
    </row>
    <row r="28" spans="1:10" ht="15.75">
      <c r="A28" s="1"/>
      <c r="B28" s="1160" t="s">
        <v>2148</v>
      </c>
      <c r="C28" s="1143">
        <v>0</v>
      </c>
      <c r="D28" s="1143">
        <v>0</v>
      </c>
      <c r="E28" s="1159">
        <f>+E12+E18-E24</f>
        <v>192607.68</v>
      </c>
    </row>
    <row r="29" spans="1:10" ht="15.75">
      <c r="A29" s="1"/>
      <c r="B29" s="1"/>
      <c r="C29" s="1"/>
      <c r="D29" s="1"/>
      <c r="E29" s="1"/>
    </row>
    <row r="30" spans="1:10" ht="15.75">
      <c r="B30" s="1"/>
      <c r="C30" s="1"/>
      <c r="D30" s="1"/>
      <c r="E30" s="1"/>
    </row>
    <row r="31" spans="1:10" ht="15.75">
      <c r="B31" s="1"/>
      <c r="C31" s="1"/>
      <c r="D31" s="1"/>
      <c r="E31" s="1"/>
    </row>
    <row r="32" spans="1:10" ht="15">
      <c r="B32" s="116"/>
      <c r="C32" s="116"/>
      <c r="D32" s="116"/>
      <c r="E32" s="116"/>
    </row>
    <row r="33" spans="2:5" ht="15">
      <c r="B33" s="116"/>
      <c r="C33" s="116"/>
      <c r="D33" s="116"/>
      <c r="E33" s="116"/>
    </row>
  </sheetData>
  <mergeCells count="3">
    <mergeCell ref="A6:E6"/>
    <mergeCell ref="A7:C7"/>
    <mergeCell ref="A3:E3"/>
  </mergeCells>
  <printOptions headings="1"/>
  <pageMargins left="0.74803149606299213" right="0.74803149606299213" top="0.98425196850393704" bottom="0.98425196850393704" header="0.31496062992125984" footer="0.51181102362204722"/>
  <pageSetup paperSize="9" scale="79" firstPageNumber="0" fitToHeight="0" orientation="portrait" r:id="rId1"/>
  <headerFooter>
    <oddHeader>&amp;R&amp;A melléklet a /2026.(V.28.) önkormányzati rendelethez/ &amp;P.oldal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MK161"/>
  <sheetViews>
    <sheetView zoomScaleNormal="100" workbookViewId="0">
      <selection activeCell="G4" sqref="G4"/>
    </sheetView>
  </sheetViews>
  <sheetFormatPr defaultRowHeight="15.75"/>
  <cols>
    <col min="1" max="1" width="4" style="162"/>
    <col min="2" max="2" width="68" style="1"/>
    <col min="3" max="3" width="13.7109375" style="912" bestFit="1" customWidth="1"/>
    <col min="4" max="4" width="12.5703125" style="932"/>
    <col min="5" max="5" width="12.85546875" style="1851"/>
    <col min="6" max="6" width="18" style="961"/>
    <col min="7" max="7" width="10.85546875" style="21"/>
    <col min="8" max="1025" width="9.140625" style="21"/>
  </cols>
  <sheetData>
    <row r="1" spans="1:11" ht="18.75">
      <c r="A1" s="2134" t="s">
        <v>169</v>
      </c>
      <c r="B1" s="2134"/>
      <c r="C1" s="2134"/>
      <c r="D1" s="2134"/>
      <c r="E1" s="2134"/>
      <c r="F1" s="2134"/>
      <c r="K1"/>
    </row>
    <row r="2" spans="1:11">
      <c r="A2" s="115"/>
      <c r="B2" s="115"/>
      <c r="C2" s="1340"/>
      <c r="D2" s="1340"/>
      <c r="E2" s="1340"/>
      <c r="F2" s="1340"/>
      <c r="K2"/>
    </row>
    <row r="3" spans="1:11" ht="18.75" customHeight="1">
      <c r="A3" s="2168" t="s">
        <v>190</v>
      </c>
      <c r="B3" s="2168"/>
      <c r="C3" s="2168"/>
      <c r="D3" s="2168"/>
      <c r="E3" s="2168"/>
      <c r="F3" s="2168"/>
      <c r="K3"/>
    </row>
    <row r="4" spans="1:11" ht="18.75" customHeight="1">
      <c r="A4" s="2134" t="s">
        <v>1533</v>
      </c>
      <c r="B4" s="2134"/>
      <c r="C4" s="2134"/>
      <c r="D4" s="2134"/>
      <c r="E4" s="2134"/>
      <c r="F4" s="2134"/>
      <c r="K4"/>
    </row>
    <row r="5" spans="1:11" ht="18.75" customHeight="1">
      <c r="A5" s="2116" t="s">
        <v>224</v>
      </c>
      <c r="B5" s="2116"/>
      <c r="C5" s="1895"/>
      <c r="D5" s="1895"/>
      <c r="E5" s="1896"/>
      <c r="F5" s="1896"/>
      <c r="K5"/>
    </row>
    <row r="6" spans="1:11">
      <c r="A6" s="2116"/>
      <c r="B6" s="2116"/>
      <c r="C6" s="1340"/>
      <c r="D6" s="1897"/>
      <c r="E6" s="1898" t="s">
        <v>38</v>
      </c>
      <c r="F6" s="1899"/>
      <c r="K6"/>
    </row>
    <row r="7" spans="1:11" ht="32.25" thickBot="1">
      <c r="A7" s="964" t="s">
        <v>191</v>
      </c>
      <c r="B7" s="965"/>
      <c r="C7" s="891" t="s">
        <v>46</v>
      </c>
      <c r="D7" s="913" t="s">
        <v>47</v>
      </c>
      <c r="E7" s="933" t="s">
        <v>48</v>
      </c>
      <c r="F7" s="949" t="s">
        <v>1</v>
      </c>
      <c r="K7"/>
    </row>
    <row r="8" spans="1:11">
      <c r="A8" s="3" t="s">
        <v>192</v>
      </c>
      <c r="B8" s="115"/>
      <c r="C8" s="892"/>
      <c r="D8" s="914"/>
      <c r="E8" s="934"/>
      <c r="F8" s="950"/>
      <c r="K8"/>
    </row>
    <row r="9" spans="1:11">
      <c r="A9" s="162" t="s">
        <v>49</v>
      </c>
      <c r="B9" s="133" t="s">
        <v>193</v>
      </c>
      <c r="C9" s="893">
        <v>10723000</v>
      </c>
      <c r="D9" s="915">
        <v>30784000</v>
      </c>
      <c r="E9" s="934">
        <v>28309000</v>
      </c>
      <c r="F9" s="950">
        <f>E9/D9</f>
        <v>0.91960109147609148</v>
      </c>
      <c r="K9"/>
    </row>
    <row r="10" spans="1:11">
      <c r="A10" s="162" t="s">
        <v>51</v>
      </c>
      <c r="B10" s="133" t="s">
        <v>194</v>
      </c>
      <c r="C10" s="894">
        <v>0</v>
      </c>
      <c r="D10" s="916">
        <v>0</v>
      </c>
      <c r="E10" s="935">
        <v>0</v>
      </c>
      <c r="F10" s="950">
        <v>0</v>
      </c>
      <c r="K10"/>
    </row>
    <row r="11" spans="1:11">
      <c r="A11" s="162" t="s">
        <v>53</v>
      </c>
      <c r="B11" s="133" t="s">
        <v>195</v>
      </c>
      <c r="C11" s="893">
        <v>6457000</v>
      </c>
      <c r="D11" s="916">
        <v>0</v>
      </c>
      <c r="E11" s="935">
        <v>0</v>
      </c>
      <c r="F11" s="950">
        <v>0</v>
      </c>
      <c r="K11"/>
    </row>
    <row r="12" spans="1:11">
      <c r="A12" s="162" t="s">
        <v>55</v>
      </c>
      <c r="B12" s="133" t="s">
        <v>196</v>
      </c>
      <c r="C12" s="895">
        <v>0</v>
      </c>
      <c r="D12" s="917">
        <v>0</v>
      </c>
      <c r="E12" s="935">
        <v>0</v>
      </c>
      <c r="F12" s="950">
        <v>0</v>
      </c>
      <c r="K12"/>
    </row>
    <row r="13" spans="1:11">
      <c r="A13" s="162" t="s">
        <v>58</v>
      </c>
      <c r="B13" s="133" t="s">
        <v>197</v>
      </c>
      <c r="C13" s="894">
        <v>0</v>
      </c>
      <c r="D13" s="916">
        <v>0</v>
      </c>
      <c r="E13" s="935">
        <v>0</v>
      </c>
      <c r="F13" s="950">
        <v>0</v>
      </c>
      <c r="K13"/>
    </row>
    <row r="14" spans="1:11">
      <c r="A14" s="162" t="s">
        <v>60</v>
      </c>
      <c r="B14" s="133" t="s">
        <v>198</v>
      </c>
      <c r="C14" s="894">
        <v>0</v>
      </c>
      <c r="D14" s="918">
        <v>0</v>
      </c>
      <c r="E14" s="935">
        <v>0</v>
      </c>
      <c r="F14" s="950">
        <v>0</v>
      </c>
      <c r="K14"/>
    </row>
    <row r="15" spans="1:11">
      <c r="A15" s="162" t="s">
        <v>62</v>
      </c>
      <c r="B15" s="133" t="s">
        <v>199</v>
      </c>
      <c r="C15" s="896">
        <v>0</v>
      </c>
      <c r="D15" s="915">
        <v>200000</v>
      </c>
      <c r="E15" s="934">
        <v>200000</v>
      </c>
      <c r="F15" s="950">
        <v>0</v>
      </c>
      <c r="K15"/>
    </row>
    <row r="16" spans="1:11">
      <c r="A16" s="162" t="s">
        <v>65</v>
      </c>
      <c r="B16" s="133" t="s">
        <v>200</v>
      </c>
      <c r="C16" s="894">
        <v>0</v>
      </c>
      <c r="D16" s="916">
        <v>0</v>
      </c>
      <c r="E16" s="935">
        <v>0</v>
      </c>
      <c r="F16" s="950">
        <v>0</v>
      </c>
      <c r="K16"/>
    </row>
    <row r="17" spans="1:1025">
      <c r="A17" s="162" t="s">
        <v>96</v>
      </c>
      <c r="B17" s="133" t="s">
        <v>201</v>
      </c>
      <c r="C17" s="894">
        <v>0</v>
      </c>
      <c r="D17" s="916">
        <v>0</v>
      </c>
      <c r="E17" s="935">
        <v>0</v>
      </c>
      <c r="F17" s="950">
        <v>0</v>
      </c>
      <c r="K17"/>
    </row>
    <row r="18" spans="1:1025">
      <c r="A18" s="162" t="s">
        <v>98</v>
      </c>
      <c r="B18" s="133" t="s">
        <v>202</v>
      </c>
      <c r="C18" s="894">
        <v>0</v>
      </c>
      <c r="D18" s="916">
        <v>0</v>
      </c>
      <c r="E18" s="935">
        <v>0</v>
      </c>
      <c r="F18" s="950">
        <v>0</v>
      </c>
      <c r="K18"/>
    </row>
    <row r="19" spans="1:1025">
      <c r="A19" s="162" t="s">
        <v>100</v>
      </c>
      <c r="B19" s="133" t="s">
        <v>203</v>
      </c>
      <c r="C19" s="897">
        <v>25000</v>
      </c>
      <c r="D19" s="919">
        <v>1101000</v>
      </c>
      <c r="E19" s="936">
        <v>960000</v>
      </c>
      <c r="F19" s="950">
        <f>E19/D19</f>
        <v>0.87193460490463215</v>
      </c>
      <c r="K19"/>
    </row>
    <row r="20" spans="1:1025" s="962" customFormat="1">
      <c r="A20" s="115"/>
      <c r="B20" s="12" t="s">
        <v>204</v>
      </c>
      <c r="C20" s="898">
        <f>SUM(C9:C19)</f>
        <v>17205000</v>
      </c>
      <c r="D20" s="920">
        <f>SUM(D9:D19)</f>
        <v>32085000</v>
      </c>
      <c r="E20" s="937">
        <f>SUM(E9:E19)</f>
        <v>29469000</v>
      </c>
      <c r="F20" s="1028">
        <f>E20/D20</f>
        <v>0.91846657316503044</v>
      </c>
      <c r="G20" s="963"/>
      <c r="H20" s="963"/>
      <c r="I20" s="963"/>
      <c r="J20" s="963"/>
      <c r="L20" s="963"/>
      <c r="M20" s="963"/>
      <c r="N20" s="963"/>
      <c r="O20" s="963"/>
      <c r="P20" s="963"/>
      <c r="Q20" s="963"/>
      <c r="R20" s="963"/>
      <c r="S20" s="963"/>
      <c r="T20" s="963"/>
      <c r="U20" s="963"/>
      <c r="V20" s="963"/>
      <c r="W20" s="963"/>
      <c r="X20" s="963"/>
      <c r="Y20" s="963"/>
      <c r="Z20" s="963"/>
      <c r="AA20" s="963"/>
      <c r="AB20" s="963"/>
      <c r="AC20" s="963"/>
      <c r="AD20" s="963"/>
      <c r="AE20" s="963"/>
      <c r="AF20" s="963"/>
      <c r="AG20" s="963"/>
      <c r="AH20" s="963"/>
      <c r="AI20" s="963"/>
      <c r="AJ20" s="963"/>
      <c r="AK20" s="963"/>
      <c r="AL20" s="963"/>
      <c r="AM20" s="963"/>
      <c r="AN20" s="963"/>
      <c r="AO20" s="963"/>
      <c r="AP20" s="963"/>
      <c r="AQ20" s="963"/>
      <c r="AR20" s="963"/>
      <c r="AS20" s="963"/>
      <c r="AT20" s="963"/>
      <c r="AU20" s="963"/>
      <c r="AV20" s="963"/>
      <c r="AW20" s="963"/>
      <c r="AX20" s="963"/>
      <c r="AY20" s="963"/>
      <c r="AZ20" s="963"/>
      <c r="BA20" s="963"/>
      <c r="BB20" s="963"/>
      <c r="BC20" s="963"/>
      <c r="BD20" s="963"/>
      <c r="BE20" s="963"/>
      <c r="BF20" s="963"/>
      <c r="BG20" s="963"/>
      <c r="BH20" s="963"/>
      <c r="BI20" s="963"/>
      <c r="BJ20" s="963"/>
      <c r="BK20" s="963"/>
      <c r="BL20" s="963"/>
      <c r="BM20" s="963"/>
      <c r="BN20" s="963"/>
      <c r="BO20" s="963"/>
      <c r="BP20" s="963"/>
      <c r="BQ20" s="963"/>
      <c r="BR20" s="963"/>
      <c r="BS20" s="963"/>
      <c r="BT20" s="963"/>
      <c r="BU20" s="963"/>
      <c r="BV20" s="963"/>
      <c r="BW20" s="963"/>
      <c r="BX20" s="963"/>
      <c r="BY20" s="963"/>
      <c r="BZ20" s="963"/>
      <c r="CA20" s="963"/>
      <c r="CB20" s="963"/>
      <c r="CC20" s="963"/>
      <c r="CD20" s="963"/>
      <c r="CE20" s="963"/>
      <c r="CF20" s="963"/>
      <c r="CG20" s="963"/>
      <c r="CH20" s="963"/>
      <c r="CI20" s="963"/>
      <c r="CJ20" s="963"/>
      <c r="CK20" s="963"/>
      <c r="CL20" s="963"/>
      <c r="CM20" s="963"/>
      <c r="CN20" s="963"/>
      <c r="CO20" s="963"/>
      <c r="CP20" s="963"/>
      <c r="CQ20" s="963"/>
      <c r="CR20" s="963"/>
      <c r="CS20" s="963"/>
      <c r="CT20" s="963"/>
      <c r="CU20" s="963"/>
      <c r="CV20" s="963"/>
      <c r="CW20" s="963"/>
      <c r="CX20" s="963"/>
      <c r="CY20" s="963"/>
      <c r="CZ20" s="963"/>
      <c r="DA20" s="963"/>
      <c r="DB20" s="963"/>
      <c r="DC20" s="963"/>
      <c r="DD20" s="963"/>
      <c r="DE20" s="963"/>
      <c r="DF20" s="963"/>
      <c r="DG20" s="963"/>
      <c r="DH20" s="963"/>
      <c r="DI20" s="963"/>
      <c r="DJ20" s="963"/>
      <c r="DK20" s="963"/>
      <c r="DL20" s="963"/>
      <c r="DM20" s="963"/>
      <c r="DN20" s="963"/>
      <c r="DO20" s="963"/>
      <c r="DP20" s="963"/>
      <c r="DQ20" s="963"/>
      <c r="DR20" s="963"/>
      <c r="DS20" s="963"/>
      <c r="DT20" s="963"/>
      <c r="DU20" s="963"/>
      <c r="DV20" s="963"/>
      <c r="DW20" s="963"/>
      <c r="DX20" s="963"/>
      <c r="DY20" s="963"/>
      <c r="DZ20" s="963"/>
      <c r="EA20" s="963"/>
      <c r="EB20" s="963"/>
      <c r="EC20" s="963"/>
      <c r="ED20" s="963"/>
      <c r="EE20" s="963"/>
      <c r="EF20" s="963"/>
      <c r="EG20" s="963"/>
      <c r="EH20" s="963"/>
      <c r="EI20" s="963"/>
      <c r="EJ20" s="963"/>
      <c r="EK20" s="963"/>
      <c r="EL20" s="963"/>
      <c r="EM20" s="963"/>
      <c r="EN20" s="963"/>
      <c r="EO20" s="963"/>
      <c r="EP20" s="963"/>
      <c r="EQ20" s="963"/>
      <c r="ER20" s="963"/>
      <c r="ES20" s="963"/>
      <c r="ET20" s="963"/>
      <c r="EU20" s="963"/>
      <c r="EV20" s="963"/>
      <c r="EW20" s="963"/>
      <c r="EX20" s="963"/>
      <c r="EY20" s="963"/>
      <c r="EZ20" s="963"/>
      <c r="FA20" s="963"/>
      <c r="FB20" s="963"/>
      <c r="FC20" s="963"/>
      <c r="FD20" s="963"/>
      <c r="FE20" s="963"/>
      <c r="FF20" s="963"/>
      <c r="FG20" s="963"/>
      <c r="FH20" s="963"/>
      <c r="FI20" s="963"/>
      <c r="FJ20" s="963"/>
      <c r="FK20" s="963"/>
      <c r="FL20" s="963"/>
      <c r="FM20" s="963"/>
      <c r="FN20" s="963"/>
      <c r="FO20" s="963"/>
      <c r="FP20" s="963"/>
      <c r="FQ20" s="963"/>
      <c r="FR20" s="963"/>
      <c r="FS20" s="963"/>
      <c r="FT20" s="963"/>
      <c r="FU20" s="963"/>
      <c r="FV20" s="963"/>
      <c r="FW20" s="963"/>
      <c r="FX20" s="963"/>
      <c r="FY20" s="963"/>
      <c r="FZ20" s="963"/>
      <c r="GA20" s="963"/>
      <c r="GB20" s="963"/>
      <c r="GC20" s="963"/>
      <c r="GD20" s="963"/>
      <c r="GE20" s="963"/>
      <c r="GF20" s="963"/>
      <c r="GG20" s="963"/>
      <c r="GH20" s="963"/>
      <c r="GI20" s="963"/>
      <c r="GJ20" s="963"/>
      <c r="GK20" s="963"/>
      <c r="GL20" s="963"/>
      <c r="GM20" s="963"/>
      <c r="GN20" s="963"/>
      <c r="GO20" s="963"/>
      <c r="GP20" s="963"/>
      <c r="GQ20" s="963"/>
      <c r="GR20" s="963"/>
      <c r="GS20" s="963"/>
      <c r="GT20" s="963"/>
      <c r="GU20" s="963"/>
      <c r="GV20" s="963"/>
      <c r="GW20" s="963"/>
      <c r="GX20" s="963"/>
      <c r="GY20" s="963"/>
      <c r="GZ20" s="963"/>
      <c r="HA20" s="963"/>
      <c r="HB20" s="963"/>
      <c r="HC20" s="963"/>
      <c r="HD20" s="963"/>
      <c r="HE20" s="963"/>
      <c r="HF20" s="963"/>
      <c r="HG20" s="963"/>
      <c r="HH20" s="963"/>
      <c r="HI20" s="963"/>
      <c r="HJ20" s="963"/>
      <c r="HK20" s="963"/>
      <c r="HL20" s="963"/>
      <c r="HM20" s="963"/>
      <c r="HN20" s="963"/>
      <c r="HO20" s="963"/>
      <c r="HP20" s="963"/>
      <c r="HQ20" s="963"/>
      <c r="HR20" s="963"/>
      <c r="HS20" s="963"/>
      <c r="HT20" s="963"/>
      <c r="HU20" s="963"/>
      <c r="HV20" s="963"/>
      <c r="HW20" s="963"/>
      <c r="HX20" s="963"/>
      <c r="HY20" s="963"/>
      <c r="HZ20" s="963"/>
      <c r="IA20" s="963"/>
      <c r="IB20" s="963"/>
      <c r="IC20" s="963"/>
      <c r="ID20" s="963"/>
      <c r="IE20" s="963"/>
      <c r="IF20" s="963"/>
      <c r="IG20" s="963"/>
      <c r="IH20" s="963"/>
      <c r="II20" s="963"/>
      <c r="IJ20" s="963"/>
      <c r="IK20" s="963"/>
      <c r="IL20" s="963"/>
      <c r="IM20" s="963"/>
      <c r="IN20" s="963"/>
      <c r="IO20" s="963"/>
      <c r="IP20" s="963"/>
      <c r="IQ20" s="963"/>
      <c r="IR20" s="963"/>
      <c r="IS20" s="963"/>
      <c r="IT20" s="963"/>
      <c r="IU20" s="963"/>
      <c r="IV20" s="963"/>
      <c r="IW20" s="963"/>
      <c r="IX20" s="963"/>
      <c r="IY20" s="963"/>
      <c r="IZ20" s="963"/>
      <c r="JA20" s="963"/>
      <c r="JB20" s="963"/>
      <c r="JC20" s="963"/>
      <c r="JD20" s="963"/>
      <c r="JE20" s="963"/>
      <c r="JF20" s="963"/>
      <c r="JG20" s="963"/>
      <c r="JH20" s="963"/>
      <c r="JI20" s="963"/>
      <c r="JJ20" s="963"/>
      <c r="JK20" s="963"/>
      <c r="JL20" s="963"/>
      <c r="JM20" s="963"/>
      <c r="JN20" s="963"/>
      <c r="JO20" s="963"/>
      <c r="JP20" s="963"/>
      <c r="JQ20" s="963"/>
      <c r="JR20" s="963"/>
      <c r="JS20" s="963"/>
      <c r="JT20" s="963"/>
      <c r="JU20" s="963"/>
      <c r="JV20" s="963"/>
      <c r="JW20" s="963"/>
      <c r="JX20" s="963"/>
      <c r="JY20" s="963"/>
      <c r="JZ20" s="963"/>
      <c r="KA20" s="963"/>
      <c r="KB20" s="963"/>
      <c r="KC20" s="963"/>
      <c r="KD20" s="963"/>
      <c r="KE20" s="963"/>
      <c r="KF20" s="963"/>
      <c r="KG20" s="963"/>
      <c r="KH20" s="963"/>
      <c r="KI20" s="963"/>
      <c r="KJ20" s="963"/>
      <c r="KK20" s="963"/>
      <c r="KL20" s="963"/>
      <c r="KM20" s="963"/>
      <c r="KN20" s="963"/>
      <c r="KO20" s="963"/>
      <c r="KP20" s="963"/>
      <c r="KQ20" s="963"/>
      <c r="KR20" s="963"/>
      <c r="KS20" s="963"/>
      <c r="KT20" s="963"/>
      <c r="KU20" s="963"/>
      <c r="KV20" s="963"/>
      <c r="KW20" s="963"/>
      <c r="KX20" s="963"/>
      <c r="KY20" s="963"/>
      <c r="KZ20" s="963"/>
      <c r="LA20" s="963"/>
      <c r="LB20" s="963"/>
      <c r="LC20" s="963"/>
      <c r="LD20" s="963"/>
      <c r="LE20" s="963"/>
      <c r="LF20" s="963"/>
      <c r="LG20" s="963"/>
      <c r="LH20" s="963"/>
      <c r="LI20" s="963"/>
      <c r="LJ20" s="963"/>
      <c r="LK20" s="963"/>
      <c r="LL20" s="963"/>
      <c r="LM20" s="963"/>
      <c r="LN20" s="963"/>
      <c r="LO20" s="963"/>
      <c r="LP20" s="963"/>
      <c r="LQ20" s="963"/>
      <c r="LR20" s="963"/>
      <c r="LS20" s="963"/>
      <c r="LT20" s="963"/>
      <c r="LU20" s="963"/>
      <c r="LV20" s="963"/>
      <c r="LW20" s="963"/>
      <c r="LX20" s="963"/>
      <c r="LY20" s="963"/>
      <c r="LZ20" s="963"/>
      <c r="MA20" s="963"/>
      <c r="MB20" s="963"/>
      <c r="MC20" s="963"/>
      <c r="MD20" s="963"/>
      <c r="ME20" s="963"/>
      <c r="MF20" s="963"/>
      <c r="MG20" s="963"/>
      <c r="MH20" s="963"/>
      <c r="MI20" s="963"/>
      <c r="MJ20" s="963"/>
      <c r="MK20" s="963"/>
      <c r="ML20" s="963"/>
      <c r="MM20" s="963"/>
      <c r="MN20" s="963"/>
      <c r="MO20" s="963"/>
      <c r="MP20" s="963"/>
      <c r="MQ20" s="963"/>
      <c r="MR20" s="963"/>
      <c r="MS20" s="963"/>
      <c r="MT20" s="963"/>
      <c r="MU20" s="963"/>
      <c r="MV20" s="963"/>
      <c r="MW20" s="963"/>
      <c r="MX20" s="963"/>
      <c r="MY20" s="963"/>
      <c r="MZ20" s="963"/>
      <c r="NA20" s="963"/>
      <c r="NB20" s="963"/>
      <c r="NC20" s="963"/>
      <c r="ND20" s="963"/>
      <c r="NE20" s="963"/>
      <c r="NF20" s="963"/>
      <c r="NG20" s="963"/>
      <c r="NH20" s="963"/>
      <c r="NI20" s="963"/>
      <c r="NJ20" s="963"/>
      <c r="NK20" s="963"/>
      <c r="NL20" s="963"/>
      <c r="NM20" s="963"/>
      <c r="NN20" s="963"/>
      <c r="NO20" s="963"/>
      <c r="NP20" s="963"/>
      <c r="NQ20" s="963"/>
      <c r="NR20" s="963"/>
      <c r="NS20" s="963"/>
      <c r="NT20" s="963"/>
      <c r="NU20" s="963"/>
      <c r="NV20" s="963"/>
      <c r="NW20" s="963"/>
      <c r="NX20" s="963"/>
      <c r="NY20" s="963"/>
      <c r="NZ20" s="963"/>
      <c r="OA20" s="963"/>
      <c r="OB20" s="963"/>
      <c r="OC20" s="963"/>
      <c r="OD20" s="963"/>
      <c r="OE20" s="963"/>
      <c r="OF20" s="963"/>
      <c r="OG20" s="963"/>
      <c r="OH20" s="963"/>
      <c r="OI20" s="963"/>
      <c r="OJ20" s="963"/>
      <c r="OK20" s="963"/>
      <c r="OL20" s="963"/>
      <c r="OM20" s="963"/>
      <c r="ON20" s="963"/>
      <c r="OO20" s="963"/>
      <c r="OP20" s="963"/>
      <c r="OQ20" s="963"/>
      <c r="OR20" s="963"/>
      <c r="OS20" s="963"/>
      <c r="OT20" s="963"/>
      <c r="OU20" s="963"/>
      <c r="OV20" s="963"/>
      <c r="OW20" s="963"/>
      <c r="OX20" s="963"/>
      <c r="OY20" s="963"/>
      <c r="OZ20" s="963"/>
      <c r="PA20" s="963"/>
      <c r="PB20" s="963"/>
      <c r="PC20" s="963"/>
      <c r="PD20" s="963"/>
      <c r="PE20" s="963"/>
      <c r="PF20" s="963"/>
      <c r="PG20" s="963"/>
      <c r="PH20" s="963"/>
      <c r="PI20" s="963"/>
      <c r="PJ20" s="963"/>
      <c r="PK20" s="963"/>
      <c r="PL20" s="963"/>
      <c r="PM20" s="963"/>
      <c r="PN20" s="963"/>
      <c r="PO20" s="963"/>
      <c r="PP20" s="963"/>
      <c r="PQ20" s="963"/>
      <c r="PR20" s="963"/>
      <c r="PS20" s="963"/>
      <c r="PT20" s="963"/>
      <c r="PU20" s="963"/>
      <c r="PV20" s="963"/>
      <c r="PW20" s="963"/>
      <c r="PX20" s="963"/>
      <c r="PY20" s="963"/>
      <c r="PZ20" s="963"/>
      <c r="QA20" s="963"/>
      <c r="QB20" s="963"/>
      <c r="QC20" s="963"/>
      <c r="QD20" s="963"/>
      <c r="QE20" s="963"/>
      <c r="QF20" s="963"/>
      <c r="QG20" s="963"/>
      <c r="QH20" s="963"/>
      <c r="QI20" s="963"/>
      <c r="QJ20" s="963"/>
      <c r="QK20" s="963"/>
      <c r="QL20" s="963"/>
      <c r="QM20" s="963"/>
      <c r="QN20" s="963"/>
      <c r="QO20" s="963"/>
      <c r="QP20" s="963"/>
      <c r="QQ20" s="963"/>
      <c r="QR20" s="963"/>
      <c r="QS20" s="963"/>
      <c r="QT20" s="963"/>
      <c r="QU20" s="963"/>
      <c r="QV20" s="963"/>
      <c r="QW20" s="963"/>
      <c r="QX20" s="963"/>
      <c r="QY20" s="963"/>
      <c r="QZ20" s="963"/>
      <c r="RA20" s="963"/>
      <c r="RB20" s="963"/>
      <c r="RC20" s="963"/>
      <c r="RD20" s="963"/>
      <c r="RE20" s="963"/>
      <c r="RF20" s="963"/>
      <c r="RG20" s="963"/>
      <c r="RH20" s="963"/>
      <c r="RI20" s="963"/>
      <c r="RJ20" s="963"/>
      <c r="RK20" s="963"/>
      <c r="RL20" s="963"/>
      <c r="RM20" s="963"/>
      <c r="RN20" s="963"/>
      <c r="RO20" s="963"/>
      <c r="RP20" s="963"/>
      <c r="RQ20" s="963"/>
      <c r="RR20" s="963"/>
      <c r="RS20" s="963"/>
      <c r="RT20" s="963"/>
      <c r="RU20" s="963"/>
      <c r="RV20" s="963"/>
      <c r="RW20" s="963"/>
      <c r="RX20" s="963"/>
      <c r="RY20" s="963"/>
      <c r="RZ20" s="963"/>
      <c r="SA20" s="963"/>
      <c r="SB20" s="963"/>
      <c r="SC20" s="963"/>
      <c r="SD20" s="963"/>
      <c r="SE20" s="963"/>
      <c r="SF20" s="963"/>
      <c r="SG20" s="963"/>
      <c r="SH20" s="963"/>
      <c r="SI20" s="963"/>
      <c r="SJ20" s="963"/>
      <c r="SK20" s="963"/>
      <c r="SL20" s="963"/>
      <c r="SM20" s="963"/>
      <c r="SN20" s="963"/>
      <c r="SO20" s="963"/>
      <c r="SP20" s="963"/>
      <c r="SQ20" s="963"/>
      <c r="SR20" s="963"/>
      <c r="SS20" s="963"/>
      <c r="ST20" s="963"/>
      <c r="SU20" s="963"/>
      <c r="SV20" s="963"/>
      <c r="SW20" s="963"/>
      <c r="SX20" s="963"/>
      <c r="SY20" s="963"/>
      <c r="SZ20" s="963"/>
      <c r="TA20" s="963"/>
      <c r="TB20" s="963"/>
      <c r="TC20" s="963"/>
      <c r="TD20" s="963"/>
      <c r="TE20" s="963"/>
      <c r="TF20" s="963"/>
      <c r="TG20" s="963"/>
      <c r="TH20" s="963"/>
      <c r="TI20" s="963"/>
      <c r="TJ20" s="963"/>
      <c r="TK20" s="963"/>
      <c r="TL20" s="963"/>
      <c r="TM20" s="963"/>
      <c r="TN20" s="963"/>
      <c r="TO20" s="963"/>
      <c r="TP20" s="963"/>
      <c r="TQ20" s="963"/>
      <c r="TR20" s="963"/>
      <c r="TS20" s="963"/>
      <c r="TT20" s="963"/>
      <c r="TU20" s="963"/>
      <c r="TV20" s="963"/>
      <c r="TW20" s="963"/>
      <c r="TX20" s="963"/>
      <c r="TY20" s="963"/>
      <c r="TZ20" s="963"/>
      <c r="UA20" s="963"/>
      <c r="UB20" s="963"/>
      <c r="UC20" s="963"/>
      <c r="UD20" s="963"/>
      <c r="UE20" s="963"/>
      <c r="UF20" s="963"/>
      <c r="UG20" s="963"/>
      <c r="UH20" s="963"/>
      <c r="UI20" s="963"/>
      <c r="UJ20" s="963"/>
      <c r="UK20" s="963"/>
      <c r="UL20" s="963"/>
      <c r="UM20" s="963"/>
      <c r="UN20" s="963"/>
      <c r="UO20" s="963"/>
      <c r="UP20" s="963"/>
      <c r="UQ20" s="963"/>
      <c r="UR20" s="963"/>
      <c r="US20" s="963"/>
      <c r="UT20" s="963"/>
      <c r="UU20" s="963"/>
      <c r="UV20" s="963"/>
      <c r="UW20" s="963"/>
      <c r="UX20" s="963"/>
      <c r="UY20" s="963"/>
      <c r="UZ20" s="963"/>
      <c r="VA20" s="963"/>
      <c r="VB20" s="963"/>
      <c r="VC20" s="963"/>
      <c r="VD20" s="963"/>
      <c r="VE20" s="963"/>
      <c r="VF20" s="963"/>
      <c r="VG20" s="963"/>
      <c r="VH20" s="963"/>
      <c r="VI20" s="963"/>
      <c r="VJ20" s="963"/>
      <c r="VK20" s="963"/>
      <c r="VL20" s="963"/>
      <c r="VM20" s="963"/>
      <c r="VN20" s="963"/>
      <c r="VO20" s="963"/>
      <c r="VP20" s="963"/>
      <c r="VQ20" s="963"/>
      <c r="VR20" s="963"/>
      <c r="VS20" s="963"/>
      <c r="VT20" s="963"/>
      <c r="VU20" s="963"/>
      <c r="VV20" s="963"/>
      <c r="VW20" s="963"/>
      <c r="VX20" s="963"/>
      <c r="VY20" s="963"/>
      <c r="VZ20" s="963"/>
      <c r="WA20" s="963"/>
      <c r="WB20" s="963"/>
      <c r="WC20" s="963"/>
      <c r="WD20" s="963"/>
      <c r="WE20" s="963"/>
      <c r="WF20" s="963"/>
      <c r="WG20" s="963"/>
      <c r="WH20" s="963"/>
      <c r="WI20" s="963"/>
      <c r="WJ20" s="963"/>
      <c r="WK20" s="963"/>
      <c r="WL20" s="963"/>
      <c r="WM20" s="963"/>
      <c r="WN20" s="963"/>
      <c r="WO20" s="963"/>
      <c r="WP20" s="963"/>
      <c r="WQ20" s="963"/>
      <c r="WR20" s="963"/>
      <c r="WS20" s="963"/>
      <c r="WT20" s="963"/>
      <c r="WU20" s="963"/>
      <c r="WV20" s="963"/>
      <c r="WW20" s="963"/>
      <c r="WX20" s="963"/>
      <c r="WY20" s="963"/>
      <c r="WZ20" s="963"/>
      <c r="XA20" s="963"/>
      <c r="XB20" s="963"/>
      <c r="XC20" s="963"/>
      <c r="XD20" s="963"/>
      <c r="XE20" s="963"/>
      <c r="XF20" s="963"/>
      <c r="XG20" s="963"/>
      <c r="XH20" s="963"/>
      <c r="XI20" s="963"/>
      <c r="XJ20" s="963"/>
      <c r="XK20" s="963"/>
      <c r="XL20" s="963"/>
      <c r="XM20" s="963"/>
      <c r="XN20" s="963"/>
      <c r="XO20" s="963"/>
      <c r="XP20" s="963"/>
      <c r="XQ20" s="963"/>
      <c r="XR20" s="963"/>
      <c r="XS20" s="963"/>
      <c r="XT20" s="963"/>
      <c r="XU20" s="963"/>
      <c r="XV20" s="963"/>
      <c r="XW20" s="963"/>
      <c r="XX20" s="963"/>
      <c r="XY20" s="963"/>
      <c r="XZ20" s="963"/>
      <c r="YA20" s="963"/>
      <c r="YB20" s="963"/>
      <c r="YC20" s="963"/>
      <c r="YD20" s="963"/>
      <c r="YE20" s="963"/>
      <c r="YF20" s="963"/>
      <c r="YG20" s="963"/>
      <c r="YH20" s="963"/>
      <c r="YI20" s="963"/>
      <c r="YJ20" s="963"/>
      <c r="YK20" s="963"/>
      <c r="YL20" s="963"/>
      <c r="YM20" s="963"/>
      <c r="YN20" s="963"/>
      <c r="YO20" s="963"/>
      <c r="YP20" s="963"/>
      <c r="YQ20" s="963"/>
      <c r="YR20" s="963"/>
      <c r="YS20" s="963"/>
      <c r="YT20" s="963"/>
      <c r="YU20" s="963"/>
      <c r="YV20" s="963"/>
      <c r="YW20" s="963"/>
      <c r="YX20" s="963"/>
      <c r="YY20" s="963"/>
      <c r="YZ20" s="963"/>
      <c r="ZA20" s="963"/>
      <c r="ZB20" s="963"/>
      <c r="ZC20" s="963"/>
      <c r="ZD20" s="963"/>
      <c r="ZE20" s="963"/>
      <c r="ZF20" s="963"/>
      <c r="ZG20" s="963"/>
      <c r="ZH20" s="963"/>
      <c r="ZI20" s="963"/>
      <c r="ZJ20" s="963"/>
      <c r="ZK20" s="963"/>
      <c r="ZL20" s="963"/>
      <c r="ZM20" s="963"/>
      <c r="ZN20" s="963"/>
      <c r="ZO20" s="963"/>
      <c r="ZP20" s="963"/>
      <c r="ZQ20" s="963"/>
      <c r="ZR20" s="963"/>
      <c r="ZS20" s="963"/>
      <c r="ZT20" s="963"/>
      <c r="ZU20" s="963"/>
      <c r="ZV20" s="963"/>
      <c r="ZW20" s="963"/>
      <c r="ZX20" s="963"/>
      <c r="ZY20" s="963"/>
      <c r="ZZ20" s="963"/>
      <c r="AAA20" s="963"/>
      <c r="AAB20" s="963"/>
      <c r="AAC20" s="963"/>
      <c r="AAD20" s="963"/>
      <c r="AAE20" s="963"/>
      <c r="AAF20" s="963"/>
      <c r="AAG20" s="963"/>
      <c r="AAH20" s="963"/>
      <c r="AAI20" s="963"/>
      <c r="AAJ20" s="963"/>
      <c r="AAK20" s="963"/>
      <c r="AAL20" s="963"/>
      <c r="AAM20" s="963"/>
      <c r="AAN20" s="963"/>
      <c r="AAO20" s="963"/>
      <c r="AAP20" s="963"/>
      <c r="AAQ20" s="963"/>
      <c r="AAR20" s="963"/>
      <c r="AAS20" s="963"/>
      <c r="AAT20" s="963"/>
      <c r="AAU20" s="963"/>
      <c r="AAV20" s="963"/>
      <c r="AAW20" s="963"/>
      <c r="AAX20" s="963"/>
      <c r="AAY20" s="963"/>
      <c r="AAZ20" s="963"/>
      <c r="ABA20" s="963"/>
      <c r="ABB20" s="963"/>
      <c r="ABC20" s="963"/>
      <c r="ABD20" s="963"/>
      <c r="ABE20" s="963"/>
      <c r="ABF20" s="963"/>
      <c r="ABG20" s="963"/>
      <c r="ABH20" s="963"/>
      <c r="ABI20" s="963"/>
      <c r="ABJ20" s="963"/>
      <c r="ABK20" s="963"/>
      <c r="ABL20" s="963"/>
      <c r="ABM20" s="963"/>
      <c r="ABN20" s="963"/>
      <c r="ABO20" s="963"/>
      <c r="ABP20" s="963"/>
      <c r="ABQ20" s="963"/>
      <c r="ABR20" s="963"/>
      <c r="ABS20" s="963"/>
      <c r="ABT20" s="963"/>
      <c r="ABU20" s="963"/>
      <c r="ABV20" s="963"/>
      <c r="ABW20" s="963"/>
      <c r="ABX20" s="963"/>
      <c r="ABY20" s="963"/>
      <c r="ABZ20" s="963"/>
      <c r="ACA20" s="963"/>
      <c r="ACB20" s="963"/>
      <c r="ACC20" s="963"/>
      <c r="ACD20" s="963"/>
      <c r="ACE20" s="963"/>
      <c r="ACF20" s="963"/>
      <c r="ACG20" s="963"/>
      <c r="ACH20" s="963"/>
      <c r="ACI20" s="963"/>
      <c r="ACJ20" s="963"/>
      <c r="ACK20" s="963"/>
      <c r="ACL20" s="963"/>
      <c r="ACM20" s="963"/>
      <c r="ACN20" s="963"/>
      <c r="ACO20" s="963"/>
      <c r="ACP20" s="963"/>
      <c r="ACQ20" s="963"/>
      <c r="ACR20" s="963"/>
      <c r="ACS20" s="963"/>
      <c r="ACT20" s="963"/>
      <c r="ACU20" s="963"/>
      <c r="ACV20" s="963"/>
      <c r="ACW20" s="963"/>
      <c r="ACX20" s="963"/>
      <c r="ACY20" s="963"/>
      <c r="ACZ20" s="963"/>
      <c r="ADA20" s="963"/>
      <c r="ADB20" s="963"/>
      <c r="ADC20" s="963"/>
      <c r="ADD20" s="963"/>
      <c r="ADE20" s="963"/>
      <c r="ADF20" s="963"/>
      <c r="ADG20" s="963"/>
      <c r="ADH20" s="963"/>
      <c r="ADI20" s="963"/>
      <c r="ADJ20" s="963"/>
      <c r="ADK20" s="963"/>
      <c r="ADL20" s="963"/>
      <c r="ADM20" s="963"/>
      <c r="ADN20" s="963"/>
      <c r="ADO20" s="963"/>
      <c r="ADP20" s="963"/>
      <c r="ADQ20" s="963"/>
      <c r="ADR20" s="963"/>
      <c r="ADS20" s="963"/>
      <c r="ADT20" s="963"/>
      <c r="ADU20" s="963"/>
      <c r="ADV20" s="963"/>
      <c r="ADW20" s="963"/>
      <c r="ADX20" s="963"/>
      <c r="ADY20" s="963"/>
      <c r="ADZ20" s="963"/>
      <c r="AEA20" s="963"/>
      <c r="AEB20" s="963"/>
      <c r="AEC20" s="963"/>
      <c r="AED20" s="963"/>
      <c r="AEE20" s="963"/>
      <c r="AEF20" s="963"/>
      <c r="AEG20" s="963"/>
      <c r="AEH20" s="963"/>
      <c r="AEI20" s="963"/>
      <c r="AEJ20" s="963"/>
      <c r="AEK20" s="963"/>
      <c r="AEL20" s="963"/>
      <c r="AEM20" s="963"/>
      <c r="AEN20" s="963"/>
      <c r="AEO20" s="963"/>
      <c r="AEP20" s="963"/>
      <c r="AEQ20" s="963"/>
      <c r="AER20" s="963"/>
      <c r="AES20" s="963"/>
      <c r="AET20" s="963"/>
      <c r="AEU20" s="963"/>
      <c r="AEV20" s="963"/>
      <c r="AEW20" s="963"/>
      <c r="AEX20" s="963"/>
      <c r="AEY20" s="963"/>
      <c r="AEZ20" s="963"/>
      <c r="AFA20" s="963"/>
      <c r="AFB20" s="963"/>
      <c r="AFC20" s="963"/>
      <c r="AFD20" s="963"/>
      <c r="AFE20" s="963"/>
      <c r="AFF20" s="963"/>
      <c r="AFG20" s="963"/>
      <c r="AFH20" s="963"/>
      <c r="AFI20" s="963"/>
      <c r="AFJ20" s="963"/>
      <c r="AFK20" s="963"/>
      <c r="AFL20" s="963"/>
      <c r="AFM20" s="963"/>
      <c r="AFN20" s="963"/>
      <c r="AFO20" s="963"/>
      <c r="AFP20" s="963"/>
      <c r="AFQ20" s="963"/>
      <c r="AFR20" s="963"/>
      <c r="AFS20" s="963"/>
      <c r="AFT20" s="963"/>
      <c r="AFU20" s="963"/>
      <c r="AFV20" s="963"/>
      <c r="AFW20" s="963"/>
      <c r="AFX20" s="963"/>
      <c r="AFY20" s="963"/>
      <c r="AFZ20" s="963"/>
      <c r="AGA20" s="963"/>
      <c r="AGB20" s="963"/>
      <c r="AGC20" s="963"/>
      <c r="AGD20" s="963"/>
      <c r="AGE20" s="963"/>
      <c r="AGF20" s="963"/>
      <c r="AGG20" s="963"/>
      <c r="AGH20" s="963"/>
      <c r="AGI20" s="963"/>
      <c r="AGJ20" s="963"/>
      <c r="AGK20" s="963"/>
      <c r="AGL20" s="963"/>
      <c r="AGM20" s="963"/>
      <c r="AGN20" s="963"/>
      <c r="AGO20" s="963"/>
      <c r="AGP20" s="963"/>
      <c r="AGQ20" s="963"/>
      <c r="AGR20" s="963"/>
      <c r="AGS20" s="963"/>
      <c r="AGT20" s="963"/>
      <c r="AGU20" s="963"/>
      <c r="AGV20" s="963"/>
      <c r="AGW20" s="963"/>
      <c r="AGX20" s="963"/>
      <c r="AGY20" s="963"/>
      <c r="AGZ20" s="963"/>
      <c r="AHA20" s="963"/>
      <c r="AHB20" s="963"/>
      <c r="AHC20" s="963"/>
      <c r="AHD20" s="963"/>
      <c r="AHE20" s="963"/>
      <c r="AHF20" s="963"/>
      <c r="AHG20" s="963"/>
      <c r="AHH20" s="963"/>
      <c r="AHI20" s="963"/>
      <c r="AHJ20" s="963"/>
      <c r="AHK20" s="963"/>
      <c r="AHL20" s="963"/>
      <c r="AHM20" s="963"/>
      <c r="AHN20" s="963"/>
      <c r="AHO20" s="963"/>
      <c r="AHP20" s="963"/>
      <c r="AHQ20" s="963"/>
      <c r="AHR20" s="963"/>
      <c r="AHS20" s="963"/>
      <c r="AHT20" s="963"/>
      <c r="AHU20" s="963"/>
      <c r="AHV20" s="963"/>
      <c r="AHW20" s="963"/>
      <c r="AHX20" s="963"/>
      <c r="AHY20" s="963"/>
      <c r="AHZ20" s="963"/>
      <c r="AIA20" s="963"/>
      <c r="AIB20" s="963"/>
      <c r="AIC20" s="963"/>
      <c r="AID20" s="963"/>
      <c r="AIE20" s="963"/>
      <c r="AIF20" s="963"/>
      <c r="AIG20" s="963"/>
      <c r="AIH20" s="963"/>
      <c r="AII20" s="963"/>
      <c r="AIJ20" s="963"/>
      <c r="AIK20" s="963"/>
      <c r="AIL20" s="963"/>
      <c r="AIM20" s="963"/>
      <c r="AIN20" s="963"/>
      <c r="AIO20" s="963"/>
      <c r="AIP20" s="963"/>
      <c r="AIQ20" s="963"/>
      <c r="AIR20" s="963"/>
      <c r="AIS20" s="963"/>
      <c r="AIT20" s="963"/>
      <c r="AIU20" s="963"/>
      <c r="AIV20" s="963"/>
      <c r="AIW20" s="963"/>
      <c r="AIX20" s="963"/>
      <c r="AIY20" s="963"/>
      <c r="AIZ20" s="963"/>
      <c r="AJA20" s="963"/>
      <c r="AJB20" s="963"/>
      <c r="AJC20" s="963"/>
      <c r="AJD20" s="963"/>
      <c r="AJE20" s="963"/>
      <c r="AJF20" s="963"/>
      <c r="AJG20" s="963"/>
      <c r="AJH20" s="963"/>
      <c r="AJI20" s="963"/>
      <c r="AJJ20" s="963"/>
      <c r="AJK20" s="963"/>
      <c r="AJL20" s="963"/>
      <c r="AJM20" s="963"/>
      <c r="AJN20" s="963"/>
      <c r="AJO20" s="963"/>
      <c r="AJP20" s="963"/>
      <c r="AJQ20" s="963"/>
      <c r="AJR20" s="963"/>
      <c r="AJS20" s="963"/>
      <c r="AJT20" s="963"/>
      <c r="AJU20" s="963"/>
      <c r="AJV20" s="963"/>
      <c r="AJW20" s="963"/>
      <c r="AJX20" s="963"/>
      <c r="AJY20" s="963"/>
      <c r="AJZ20" s="963"/>
      <c r="AKA20" s="963"/>
      <c r="AKB20" s="963"/>
      <c r="AKC20" s="963"/>
      <c r="AKD20" s="963"/>
      <c r="AKE20" s="963"/>
      <c r="AKF20" s="963"/>
      <c r="AKG20" s="963"/>
      <c r="AKH20" s="963"/>
      <c r="AKI20" s="963"/>
      <c r="AKJ20" s="963"/>
      <c r="AKK20" s="963"/>
      <c r="AKL20" s="963"/>
      <c r="AKM20" s="963"/>
      <c r="AKN20" s="963"/>
      <c r="AKO20" s="963"/>
      <c r="AKP20" s="963"/>
      <c r="AKQ20" s="963"/>
      <c r="AKR20" s="963"/>
      <c r="AKS20" s="963"/>
      <c r="AKT20" s="963"/>
      <c r="AKU20" s="963"/>
      <c r="AKV20" s="963"/>
      <c r="AKW20" s="963"/>
      <c r="AKX20" s="963"/>
      <c r="AKY20" s="963"/>
      <c r="AKZ20" s="963"/>
      <c r="ALA20" s="963"/>
      <c r="ALB20" s="963"/>
      <c r="ALC20" s="963"/>
      <c r="ALD20" s="963"/>
      <c r="ALE20" s="963"/>
      <c r="ALF20" s="963"/>
      <c r="ALG20" s="963"/>
      <c r="ALH20" s="963"/>
      <c r="ALI20" s="963"/>
      <c r="ALJ20" s="963"/>
      <c r="ALK20" s="963"/>
      <c r="ALL20" s="963"/>
      <c r="ALM20" s="963"/>
      <c r="ALN20" s="963"/>
      <c r="ALO20" s="963"/>
      <c r="ALP20" s="963"/>
      <c r="ALQ20" s="963"/>
      <c r="ALR20" s="963"/>
      <c r="ALS20" s="963"/>
      <c r="ALT20" s="963"/>
      <c r="ALU20" s="963"/>
      <c r="ALV20" s="963"/>
      <c r="ALW20" s="963"/>
      <c r="ALX20" s="963"/>
      <c r="ALY20" s="963"/>
      <c r="ALZ20" s="963"/>
      <c r="AMA20" s="963"/>
      <c r="AMB20" s="963"/>
      <c r="AMC20" s="963"/>
      <c r="AMD20" s="963"/>
      <c r="AME20" s="963"/>
      <c r="AMF20" s="963"/>
      <c r="AMG20" s="963"/>
      <c r="AMH20" s="963"/>
      <c r="AMI20" s="963"/>
      <c r="AMJ20" s="963"/>
      <c r="AMK20" s="963"/>
    </row>
    <row r="21" spans="1:1025">
      <c r="A21" s="115"/>
      <c r="B21" s="115"/>
      <c r="C21" s="899"/>
      <c r="D21" s="921"/>
      <c r="E21" s="934"/>
      <c r="F21" s="950"/>
      <c r="K21"/>
    </row>
    <row r="22" spans="1:1025">
      <c r="A22" s="3" t="s">
        <v>205</v>
      </c>
      <c r="B22" s="115"/>
      <c r="C22" s="899"/>
      <c r="D22" s="921"/>
      <c r="E22" s="934"/>
      <c r="F22" s="950"/>
      <c r="K22"/>
    </row>
    <row r="23" spans="1:1025">
      <c r="A23" s="162" t="s">
        <v>49</v>
      </c>
      <c r="B23" s="133" t="s">
        <v>206</v>
      </c>
      <c r="C23" s="893">
        <v>38205000</v>
      </c>
      <c r="D23" s="915">
        <v>41529000</v>
      </c>
      <c r="E23" s="934">
        <v>41404000</v>
      </c>
      <c r="F23" s="950">
        <f t="shared" ref="F23:F28" si="0">E23/D23</f>
        <v>0.99699005514218975</v>
      </c>
      <c r="K23"/>
    </row>
    <row r="24" spans="1:1025">
      <c r="A24" s="162" t="s">
        <v>51</v>
      </c>
      <c r="B24" s="10" t="s">
        <v>207</v>
      </c>
      <c r="C24" s="893">
        <v>4336000</v>
      </c>
      <c r="D24" s="915">
        <v>10367000</v>
      </c>
      <c r="E24" s="934">
        <v>9840000</v>
      </c>
      <c r="F24" s="950">
        <f t="shared" si="0"/>
        <v>0.94916562168419016</v>
      </c>
      <c r="K24"/>
    </row>
    <row r="25" spans="1:1025">
      <c r="A25" s="162" t="s">
        <v>53</v>
      </c>
      <c r="B25" s="133" t="s">
        <v>208</v>
      </c>
      <c r="C25" s="893">
        <v>1535000</v>
      </c>
      <c r="D25" s="915">
        <v>1535000</v>
      </c>
      <c r="E25" s="934">
        <v>1194000</v>
      </c>
      <c r="F25" s="950">
        <f t="shared" si="0"/>
        <v>0.77785016286644948</v>
      </c>
      <c r="K25"/>
    </row>
    <row r="26" spans="1:1025">
      <c r="A26" s="162" t="s">
        <v>55</v>
      </c>
      <c r="B26" s="133" t="s">
        <v>209</v>
      </c>
      <c r="C26" s="893">
        <v>2000000</v>
      </c>
      <c r="D26" s="915">
        <v>5243000</v>
      </c>
      <c r="E26" s="934">
        <v>5285000</v>
      </c>
      <c r="F26" s="950">
        <f t="shared" si="0"/>
        <v>1.0080106809078773</v>
      </c>
      <c r="K26"/>
    </row>
    <row r="27" spans="1:1025">
      <c r="A27" s="162" t="s">
        <v>58</v>
      </c>
      <c r="B27" s="10" t="s">
        <v>210</v>
      </c>
      <c r="C27" s="897">
        <v>0</v>
      </c>
      <c r="D27" s="919">
        <v>0</v>
      </c>
      <c r="E27" s="936">
        <v>0</v>
      </c>
      <c r="F27" s="951">
        <v>0</v>
      </c>
      <c r="K27"/>
    </row>
    <row r="28" spans="1:1025">
      <c r="A28" s="209"/>
      <c r="B28" s="14" t="s">
        <v>211</v>
      </c>
      <c r="C28" s="1332">
        <f>SUM(C23:C27)</f>
        <v>46076000</v>
      </c>
      <c r="D28" s="1330">
        <f>SUM(D23:D27)</f>
        <v>58674000</v>
      </c>
      <c r="E28" s="1331">
        <f>SUM(E23:E27)</f>
        <v>57723000</v>
      </c>
      <c r="F28" s="952">
        <f t="shared" si="0"/>
        <v>0.98379179875242873</v>
      </c>
      <c r="K28"/>
    </row>
    <row r="29" spans="1:1025" ht="16.5" thickBot="1">
      <c r="A29" s="115"/>
      <c r="B29" s="115"/>
      <c r="C29" s="893"/>
      <c r="D29" s="915"/>
      <c r="E29" s="934"/>
      <c r="F29" s="950"/>
      <c r="K29"/>
    </row>
    <row r="30" spans="1:1025" ht="17.25" thickTop="1">
      <c r="A30" s="1024"/>
      <c r="B30" s="1025" t="s">
        <v>212</v>
      </c>
      <c r="C30" s="1026">
        <f>C20+C28</f>
        <v>63281000</v>
      </c>
      <c r="D30" s="1026">
        <f>D20+D28</f>
        <v>90759000</v>
      </c>
      <c r="E30" s="1026">
        <f>E20+E28</f>
        <v>87192000</v>
      </c>
      <c r="F30" s="1027">
        <f>E30/D30</f>
        <v>0.96069811258387594</v>
      </c>
      <c r="K30"/>
    </row>
    <row r="31" spans="1:1025" ht="13.5" customHeight="1">
      <c r="A31" s="115"/>
      <c r="B31" s="115"/>
      <c r="C31" s="899"/>
      <c r="D31" s="921"/>
      <c r="E31" s="934"/>
      <c r="F31" s="950"/>
      <c r="K31"/>
    </row>
    <row r="32" spans="1:1025">
      <c r="A32" s="2170" t="s">
        <v>213</v>
      </c>
      <c r="B32" s="2170"/>
      <c r="C32" s="2170"/>
      <c r="D32" s="2170"/>
      <c r="E32" s="2170"/>
      <c r="F32" s="2170"/>
      <c r="K32"/>
    </row>
    <row r="33" spans="1:11">
      <c r="A33" s="162" t="s">
        <v>49</v>
      </c>
      <c r="B33" s="1" t="s">
        <v>1602</v>
      </c>
      <c r="C33" s="893">
        <v>6886000</v>
      </c>
      <c r="D33" s="915">
        <v>9045000</v>
      </c>
      <c r="E33" s="934">
        <v>8249000</v>
      </c>
      <c r="F33" s="950">
        <f>E33/D33</f>
        <v>0.9119955776672195</v>
      </c>
      <c r="K33"/>
    </row>
    <row r="34" spans="1:11">
      <c r="A34" s="162" t="s">
        <v>51</v>
      </c>
      <c r="B34" s="1" t="s">
        <v>214</v>
      </c>
      <c r="C34" s="894">
        <v>0</v>
      </c>
      <c r="D34" s="916">
        <v>0</v>
      </c>
      <c r="E34" s="935">
        <v>0</v>
      </c>
      <c r="F34" s="950">
        <v>0</v>
      </c>
      <c r="K34"/>
    </row>
    <row r="35" spans="1:11">
      <c r="A35" s="162" t="s">
        <v>53</v>
      </c>
      <c r="B35" s="1" t="s">
        <v>215</v>
      </c>
      <c r="C35" s="894">
        <v>0</v>
      </c>
      <c r="D35" s="916">
        <v>0</v>
      </c>
      <c r="E35" s="934">
        <v>292303</v>
      </c>
      <c r="F35" s="950">
        <v>0</v>
      </c>
      <c r="K35"/>
    </row>
    <row r="36" spans="1:11" ht="16.5" thickBot="1">
      <c r="A36" s="162" t="s">
        <v>55</v>
      </c>
      <c r="B36" s="10" t="s">
        <v>216</v>
      </c>
      <c r="C36" s="893">
        <v>661000</v>
      </c>
      <c r="D36" s="915">
        <v>1100000</v>
      </c>
      <c r="E36" s="934">
        <v>1222000</v>
      </c>
      <c r="F36" s="950">
        <v>0</v>
      </c>
      <c r="K36"/>
    </row>
    <row r="37" spans="1:11" ht="16.5" thickTop="1">
      <c r="A37" s="1021"/>
      <c r="B37" s="1022" t="s">
        <v>217</v>
      </c>
      <c r="C37" s="1837">
        <f>SUM(C33:C36)</f>
        <v>7547000</v>
      </c>
      <c r="D37" s="1838">
        <f>SUM(D33:D36)</f>
        <v>10145000</v>
      </c>
      <c r="E37" s="1026">
        <f>SUM(E33:E36)</f>
        <v>9763303</v>
      </c>
      <c r="F37" s="1023">
        <f>E37/D37</f>
        <v>0.96237585017249871</v>
      </c>
      <c r="K37"/>
    </row>
    <row r="38" spans="1:11" ht="12" customHeight="1">
      <c r="A38" s="210"/>
      <c r="B38" s="14"/>
      <c r="C38" s="898"/>
      <c r="D38" s="920"/>
      <c r="E38" s="934"/>
      <c r="F38" s="953"/>
      <c r="K38"/>
    </row>
    <row r="39" spans="1:11">
      <c r="A39" s="2171" t="s">
        <v>218</v>
      </c>
      <c r="B39" s="2171"/>
      <c r="C39" s="2171"/>
      <c r="D39" s="2171"/>
      <c r="E39" s="2171"/>
      <c r="F39" s="2171"/>
      <c r="K39"/>
    </row>
    <row r="40" spans="1:11" ht="11.25" customHeight="1">
      <c r="A40" s="3"/>
      <c r="B40" s="115"/>
      <c r="C40" s="899"/>
      <c r="D40" s="921"/>
      <c r="E40" s="934"/>
      <c r="F40" s="953"/>
      <c r="K40"/>
    </row>
    <row r="41" spans="1:11">
      <c r="A41" s="2169" t="s">
        <v>219</v>
      </c>
      <c r="B41" s="2169"/>
      <c r="C41" s="899"/>
      <c r="D41" s="921"/>
      <c r="E41" s="934"/>
      <c r="F41" s="953"/>
      <c r="K41"/>
    </row>
    <row r="42" spans="1:11">
      <c r="A42" s="2172" t="s">
        <v>220</v>
      </c>
      <c r="B42" s="2172"/>
      <c r="C42" s="899">
        <v>520000</v>
      </c>
      <c r="D42" s="921">
        <v>882000</v>
      </c>
      <c r="E42" s="934">
        <v>401000</v>
      </c>
      <c r="F42" s="953">
        <f t="shared" ref="F42" si="1">E42/D42</f>
        <v>0.45464852607709749</v>
      </c>
      <c r="K42"/>
    </row>
    <row r="43" spans="1:11">
      <c r="A43" s="2172" t="s">
        <v>221</v>
      </c>
      <c r="B43" s="2172"/>
      <c r="C43" s="893">
        <v>9000000</v>
      </c>
      <c r="D43" s="915">
        <v>9945000</v>
      </c>
      <c r="E43" s="934">
        <v>7227000</v>
      </c>
      <c r="F43" s="950">
        <f>E43/D43</f>
        <v>0.72669683257918549</v>
      </c>
      <c r="K43"/>
    </row>
    <row r="44" spans="1:11">
      <c r="A44" s="2172" t="s">
        <v>222</v>
      </c>
      <c r="B44" s="2172"/>
      <c r="C44" s="896">
        <v>0</v>
      </c>
      <c r="D44" s="916">
        <v>0</v>
      </c>
      <c r="E44" s="935">
        <v>0</v>
      </c>
      <c r="F44" s="950">
        <v>0</v>
      </c>
      <c r="K44"/>
    </row>
    <row r="45" spans="1:11" ht="16.5" thickBot="1">
      <c r="A45" s="115"/>
      <c r="B45" s="115"/>
      <c r="C45" s="893"/>
      <c r="D45" s="915"/>
      <c r="E45" s="934"/>
      <c r="F45" s="955"/>
      <c r="K45"/>
    </row>
    <row r="46" spans="1:11" ht="21" thickTop="1">
      <c r="A46" s="115"/>
      <c r="B46" s="1013" t="s">
        <v>223</v>
      </c>
      <c r="C46" s="1839">
        <f>SUM(C42:C45)</f>
        <v>9520000</v>
      </c>
      <c r="D46" s="1840">
        <f>SUM(D42:D45)</f>
        <v>10827000</v>
      </c>
      <c r="E46" s="1841">
        <f>SUM(E42:E45)</f>
        <v>7628000</v>
      </c>
      <c r="F46" s="1012">
        <f>E46/D46</f>
        <v>0.70453495889904871</v>
      </c>
      <c r="K46"/>
    </row>
    <row r="47" spans="1:11">
      <c r="A47" s="115"/>
      <c r="B47" s="8"/>
      <c r="C47" s="898"/>
      <c r="D47" s="920"/>
      <c r="E47" s="937"/>
      <c r="F47" s="952"/>
      <c r="K47"/>
    </row>
    <row r="48" spans="1:11">
      <c r="A48" s="2169" t="s">
        <v>225</v>
      </c>
      <c r="B48" s="2169"/>
      <c r="C48" s="893"/>
      <c r="D48" s="915"/>
      <c r="E48" s="934"/>
      <c r="F48" s="950"/>
      <c r="K48"/>
    </row>
    <row r="49" spans="1:11">
      <c r="A49" s="2172" t="s">
        <v>226</v>
      </c>
      <c r="B49" s="2172"/>
      <c r="C49" s="893">
        <v>3000000</v>
      </c>
      <c r="D49" s="915">
        <v>2500000</v>
      </c>
      <c r="E49" s="934">
        <v>1700000</v>
      </c>
      <c r="F49" s="950">
        <f>E49/D49</f>
        <v>0.68</v>
      </c>
      <c r="K49"/>
    </row>
    <row r="50" spans="1:11" ht="16.5" thickBot="1">
      <c r="A50" s="2172" t="s">
        <v>227</v>
      </c>
      <c r="B50" s="2172"/>
      <c r="C50" s="893">
        <v>400000</v>
      </c>
      <c r="D50" s="915">
        <v>950000</v>
      </c>
      <c r="E50" s="934">
        <v>460000</v>
      </c>
      <c r="F50" s="950">
        <f>E50/D50</f>
        <v>0.48421052631578948</v>
      </c>
      <c r="K50"/>
    </row>
    <row r="51" spans="1:11" ht="21" thickTop="1">
      <c r="A51" s="115"/>
      <c r="B51" s="1013" t="s">
        <v>228</v>
      </c>
      <c r="C51" s="1842">
        <f>SUM(C49:C50)</f>
        <v>3400000</v>
      </c>
      <c r="D51" s="1843">
        <f>SUM(D49:D50)</f>
        <v>3450000</v>
      </c>
      <c r="E51" s="1844">
        <f>SUM(E49:E50)</f>
        <v>2160000</v>
      </c>
      <c r="F51" s="1012">
        <f>E51/D51</f>
        <v>0.62608695652173918</v>
      </c>
      <c r="K51"/>
    </row>
    <row r="52" spans="1:11">
      <c r="A52" s="115"/>
      <c r="B52" s="115"/>
      <c r="C52" s="893"/>
      <c r="D52" s="915"/>
      <c r="E52" s="934"/>
      <c r="F52" s="950"/>
      <c r="K52"/>
    </row>
    <row r="53" spans="1:11">
      <c r="A53" s="2169" t="s">
        <v>229</v>
      </c>
      <c r="B53" s="2169"/>
      <c r="C53" s="893"/>
      <c r="D53" s="915"/>
      <c r="E53" s="934"/>
      <c r="F53" s="950"/>
      <c r="K53"/>
    </row>
    <row r="54" spans="1:11">
      <c r="A54" s="2172" t="s">
        <v>1627</v>
      </c>
      <c r="B54" s="2172"/>
      <c r="C54" s="893">
        <v>23000000</v>
      </c>
      <c r="D54" s="915">
        <v>22800000</v>
      </c>
      <c r="E54" s="934">
        <v>16972000</v>
      </c>
      <c r="F54" s="950">
        <f>E54/D54</f>
        <v>0.74438596491228071</v>
      </c>
      <c r="K54"/>
    </row>
    <row r="55" spans="1:11">
      <c r="A55" s="2172" t="s">
        <v>1628</v>
      </c>
      <c r="B55" s="2172"/>
      <c r="C55" s="893">
        <v>11000000</v>
      </c>
      <c r="D55" s="915">
        <v>17900000</v>
      </c>
      <c r="E55" s="934">
        <v>14898000</v>
      </c>
      <c r="F55" s="950">
        <f t="shared" ref="F55:F57" si="2">E55/D55</f>
        <v>0.83229050279329608</v>
      </c>
      <c r="K55"/>
    </row>
    <row r="56" spans="1:11">
      <c r="A56" s="2172" t="s">
        <v>1630</v>
      </c>
      <c r="B56" s="2172"/>
      <c r="C56" s="893">
        <v>3500000</v>
      </c>
      <c r="D56" s="915">
        <v>4000000</v>
      </c>
      <c r="E56" s="934">
        <v>3581000</v>
      </c>
      <c r="F56" s="950">
        <f t="shared" si="2"/>
        <v>0.89524999999999999</v>
      </c>
      <c r="K56"/>
    </row>
    <row r="57" spans="1:11">
      <c r="A57" s="2172" t="s">
        <v>1629</v>
      </c>
      <c r="B57" s="2172"/>
      <c r="C57" s="893">
        <v>4500000</v>
      </c>
      <c r="D57" s="915">
        <v>5600000</v>
      </c>
      <c r="E57" s="934">
        <v>4906000</v>
      </c>
      <c r="F57" s="950">
        <f t="shared" si="2"/>
        <v>0.87607142857142861</v>
      </c>
      <c r="K57"/>
    </row>
    <row r="58" spans="1:11">
      <c r="A58" s="2172" t="s">
        <v>230</v>
      </c>
      <c r="B58" s="2172"/>
      <c r="C58" s="893">
        <v>50000</v>
      </c>
      <c r="D58" s="915">
        <v>50000</v>
      </c>
      <c r="E58" s="935">
        <v>0</v>
      </c>
      <c r="F58" s="950">
        <f t="shared" ref="F58:F61" si="3">E58/D58</f>
        <v>0</v>
      </c>
      <c r="K58"/>
    </row>
    <row r="59" spans="1:11">
      <c r="A59" s="2172" t="s">
        <v>231</v>
      </c>
      <c r="B59" s="2172"/>
      <c r="C59" s="893">
        <v>1750000</v>
      </c>
      <c r="D59" s="915">
        <v>1750000</v>
      </c>
      <c r="E59" s="935">
        <v>0</v>
      </c>
      <c r="F59" s="950">
        <f t="shared" si="3"/>
        <v>0</v>
      </c>
      <c r="K59"/>
    </row>
    <row r="60" spans="1:11">
      <c r="A60" s="2172" t="s">
        <v>232</v>
      </c>
      <c r="B60" s="2172"/>
      <c r="C60" s="893">
        <v>15000000</v>
      </c>
      <c r="D60" s="915">
        <v>14300000</v>
      </c>
      <c r="E60" s="934">
        <v>5968000</v>
      </c>
      <c r="F60" s="950">
        <f t="shared" si="3"/>
        <v>0.41734265734265735</v>
      </c>
      <c r="K60"/>
    </row>
    <row r="61" spans="1:11">
      <c r="A61" s="11" t="s">
        <v>233</v>
      </c>
      <c r="B61" s="11"/>
      <c r="C61" s="893">
        <v>13500000</v>
      </c>
      <c r="D61" s="915">
        <v>14500000</v>
      </c>
      <c r="E61" s="934">
        <v>12940000</v>
      </c>
      <c r="F61" s="950">
        <f t="shared" si="3"/>
        <v>0.89241379310344826</v>
      </c>
      <c r="K61"/>
    </row>
    <row r="62" spans="1:11">
      <c r="A62" s="2172" t="s">
        <v>234</v>
      </c>
      <c r="B62" s="2172"/>
      <c r="C62" s="893">
        <v>57000000</v>
      </c>
      <c r="D62" s="915">
        <v>57700000</v>
      </c>
      <c r="E62" s="934">
        <v>45188000</v>
      </c>
      <c r="F62" s="950">
        <f>E62/D62</f>
        <v>0.78315424610051998</v>
      </c>
      <c r="K62"/>
    </row>
    <row r="63" spans="1:11" ht="15" customHeight="1" thickBot="1">
      <c r="A63" s="2172" t="s">
        <v>235</v>
      </c>
      <c r="B63" s="2172"/>
      <c r="C63" s="893">
        <v>33543000</v>
      </c>
      <c r="D63" s="915">
        <v>33543000</v>
      </c>
      <c r="E63" s="934">
        <v>30123000</v>
      </c>
      <c r="F63" s="950">
        <f>E63/D63</f>
        <v>0.89804132009659243</v>
      </c>
      <c r="K63"/>
    </row>
    <row r="64" spans="1:11" ht="16.5" thickTop="1">
      <c r="A64" s="115"/>
      <c r="B64" s="1014" t="s">
        <v>236</v>
      </c>
      <c r="C64" s="1845">
        <f>SUM(C54:C63)</f>
        <v>162843000</v>
      </c>
      <c r="D64" s="1846">
        <f>SUM(D54:D63)</f>
        <v>172143000</v>
      </c>
      <c r="E64" s="1847">
        <f>SUM(E54:E63)</f>
        <v>134576000</v>
      </c>
      <c r="F64" s="1011">
        <f>E64/D64</f>
        <v>0.78176864583514871</v>
      </c>
      <c r="K64"/>
    </row>
    <row r="65" spans="1:11" ht="13.5" customHeight="1">
      <c r="A65" s="115"/>
      <c r="B65" s="115"/>
      <c r="C65" s="893"/>
      <c r="D65" s="915"/>
      <c r="E65" s="934"/>
      <c r="F65" s="950"/>
      <c r="K65"/>
    </row>
    <row r="66" spans="1:11">
      <c r="A66" s="2169" t="s">
        <v>237</v>
      </c>
      <c r="B66" s="2169"/>
      <c r="C66" s="893"/>
      <c r="D66" s="915"/>
      <c r="E66" s="934"/>
      <c r="F66" s="950"/>
      <c r="K66"/>
    </row>
    <row r="67" spans="1:11">
      <c r="A67" s="2173" t="s">
        <v>238</v>
      </c>
      <c r="B67" s="2173"/>
      <c r="C67" s="893"/>
      <c r="D67" s="915"/>
      <c r="E67" s="934"/>
      <c r="F67" s="950"/>
      <c r="K67"/>
    </row>
    <row r="68" spans="1:11">
      <c r="A68" s="162" t="s">
        <v>49</v>
      </c>
      <c r="B68" s="1" t="s">
        <v>239</v>
      </c>
      <c r="C68" s="893">
        <v>50000</v>
      </c>
      <c r="D68" s="915">
        <v>50000</v>
      </c>
      <c r="E68" s="935">
        <v>0</v>
      </c>
      <c r="F68" s="950">
        <f>E68/D68</f>
        <v>0</v>
      </c>
      <c r="K68"/>
    </row>
    <row r="69" spans="1:11" ht="16.5" thickBot="1">
      <c r="A69" s="1279" t="s">
        <v>240</v>
      </c>
      <c r="B69" s="115"/>
      <c r="C69" s="893">
        <v>2000000</v>
      </c>
      <c r="D69" s="915">
        <v>2000000</v>
      </c>
      <c r="E69" s="934">
        <v>15000</v>
      </c>
      <c r="F69" s="955">
        <f>E69/D69</f>
        <v>7.4999999999999997E-3</v>
      </c>
      <c r="K69"/>
    </row>
    <row r="70" spans="1:11" ht="16.5" thickTop="1">
      <c r="A70" s="1279"/>
      <c r="B70" s="1014" t="s">
        <v>241</v>
      </c>
      <c r="C70" s="1845">
        <f>SUM(C68:C69)</f>
        <v>2050000</v>
      </c>
      <c r="D70" s="1846">
        <f>SUM(D68:D69)</f>
        <v>2050000</v>
      </c>
      <c r="E70" s="1847">
        <f>SUM(E68:E69)</f>
        <v>15000</v>
      </c>
      <c r="F70" s="1011">
        <f>E70/D70</f>
        <v>7.3170731707317077E-3</v>
      </c>
      <c r="K70"/>
    </row>
    <row r="71" spans="1:11" ht="13.5" customHeight="1">
      <c r="A71" s="1279"/>
      <c r="B71" s="115"/>
      <c r="C71" s="893"/>
      <c r="D71" s="915"/>
      <c r="E71" s="934"/>
      <c r="F71" s="950"/>
      <c r="K71"/>
    </row>
    <row r="72" spans="1:11">
      <c r="A72" s="2169" t="s">
        <v>242</v>
      </c>
      <c r="B72" s="2169"/>
      <c r="C72" s="893"/>
      <c r="D72" s="915"/>
      <c r="E72" s="934"/>
      <c r="F72" s="950"/>
      <c r="K72"/>
    </row>
    <row r="73" spans="1:11">
      <c r="A73" s="2172" t="s">
        <v>243</v>
      </c>
      <c r="B73" s="2172"/>
      <c r="C73" s="893">
        <v>48963000</v>
      </c>
      <c r="D73" s="915">
        <v>50559000</v>
      </c>
      <c r="E73" s="934">
        <v>32178000</v>
      </c>
      <c r="F73" s="950">
        <f>E73/D73</f>
        <v>0.63644454993176292</v>
      </c>
      <c r="K73"/>
    </row>
    <row r="74" spans="1:11">
      <c r="A74" s="2172" t="s">
        <v>246</v>
      </c>
      <c r="B74" s="2172"/>
      <c r="C74" s="893">
        <v>212066000</v>
      </c>
      <c r="D74" s="915">
        <v>216909000</v>
      </c>
      <c r="E74" s="934">
        <v>80022000</v>
      </c>
      <c r="F74" s="950">
        <f>E74/D74</f>
        <v>0.3689196852136149</v>
      </c>
      <c r="K74"/>
    </row>
    <row r="75" spans="1:11">
      <c r="A75" s="2172" t="s">
        <v>247</v>
      </c>
      <c r="B75" s="2172"/>
      <c r="C75" s="894">
        <v>0</v>
      </c>
      <c r="D75" s="916">
        <v>0</v>
      </c>
      <c r="E75" s="935">
        <v>0</v>
      </c>
      <c r="F75" s="950">
        <v>0</v>
      </c>
      <c r="K75"/>
    </row>
    <row r="76" spans="1:11" ht="16.5" thickBot="1">
      <c r="A76" s="2172" t="s">
        <v>248</v>
      </c>
      <c r="B76" s="2172"/>
      <c r="C76" s="893">
        <v>15063000</v>
      </c>
      <c r="D76" s="915">
        <v>14981000</v>
      </c>
      <c r="E76" s="934">
        <v>12052000</v>
      </c>
      <c r="F76" s="955">
        <f>E76/D76</f>
        <v>0.80448568186369396</v>
      </c>
      <c r="K76"/>
    </row>
    <row r="77" spans="1:11" ht="16.5" thickTop="1">
      <c r="A77" s="1279"/>
      <c r="B77" s="1014" t="s">
        <v>249</v>
      </c>
      <c r="C77" s="1848">
        <f>SUM(C73:C76)</f>
        <v>276092000</v>
      </c>
      <c r="D77" s="1849">
        <f>SUM(D73:D76)</f>
        <v>282449000</v>
      </c>
      <c r="E77" s="1850">
        <f>SUM(E73:E76)</f>
        <v>124252000</v>
      </c>
      <c r="F77" s="1011">
        <f>E77/D77</f>
        <v>0.43990950578688542</v>
      </c>
      <c r="K77"/>
    </row>
    <row r="78" spans="1:11" ht="11.25" customHeight="1" thickBot="1">
      <c r="A78" s="1279"/>
      <c r="B78" s="115"/>
      <c r="C78" s="893"/>
      <c r="D78" s="915"/>
      <c r="E78" s="934"/>
      <c r="F78" s="950"/>
      <c r="K78"/>
    </row>
    <row r="79" spans="1:11" ht="16.5" thickTop="1">
      <c r="A79" s="1015"/>
      <c r="B79" s="1016" t="s">
        <v>250</v>
      </c>
      <c r="C79" s="1017">
        <f>C46+C51+C64+C70+C77</f>
        <v>453905000</v>
      </c>
      <c r="D79" s="1018">
        <f>D46+D51+D64+D70+D77</f>
        <v>470919000</v>
      </c>
      <c r="E79" s="1019">
        <f>E46+E51+E64+E70+E77</f>
        <v>268631000</v>
      </c>
      <c r="F79" s="1020">
        <f>E79/D79</f>
        <v>0.57043992703628432</v>
      </c>
      <c r="K79"/>
    </row>
    <row r="80" spans="1:11">
      <c r="A80" s="1279"/>
      <c r="B80" s="12"/>
      <c r="C80" s="902"/>
      <c r="D80" s="924"/>
      <c r="E80" s="934"/>
      <c r="F80" s="950"/>
      <c r="K80"/>
    </row>
    <row r="81" spans="1:1025">
      <c r="A81" s="2174" t="s">
        <v>251</v>
      </c>
      <c r="B81" s="2174"/>
      <c r="C81" s="2174"/>
      <c r="D81" s="2174"/>
      <c r="E81" s="2174"/>
      <c r="F81" s="2174"/>
      <c r="K81"/>
    </row>
    <row r="82" spans="1:1025" s="115" customFormat="1">
      <c r="A82" s="162" t="s">
        <v>49</v>
      </c>
      <c r="B82" s="1" t="s">
        <v>252</v>
      </c>
      <c r="C82" s="893">
        <v>1500000</v>
      </c>
      <c r="D82" s="915">
        <v>1500000</v>
      </c>
      <c r="E82" s="935">
        <v>0</v>
      </c>
      <c r="F82" s="950">
        <f>E82/D82</f>
        <v>0</v>
      </c>
      <c r="G82" s="1"/>
      <c r="H82" s="1"/>
      <c r="I82" s="1"/>
      <c r="J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  <c r="IW82" s="1"/>
      <c r="IX82" s="1"/>
      <c r="IY82" s="1"/>
      <c r="IZ82" s="1"/>
      <c r="JA82" s="1"/>
      <c r="JB82" s="1"/>
      <c r="JC82" s="1"/>
      <c r="JD82" s="1"/>
      <c r="JE82" s="1"/>
      <c r="JF82" s="1"/>
      <c r="JG82" s="1"/>
      <c r="JH82" s="1"/>
      <c r="JI82" s="1"/>
      <c r="JJ82" s="1"/>
      <c r="JK82" s="1"/>
      <c r="JL82" s="1"/>
      <c r="JM82" s="1"/>
      <c r="JN82" s="1"/>
      <c r="JO82" s="1"/>
      <c r="JP82" s="1"/>
      <c r="JQ82" s="1"/>
      <c r="JR82" s="1"/>
      <c r="JS82" s="1"/>
      <c r="JT82" s="1"/>
      <c r="JU82" s="1"/>
      <c r="JV82" s="1"/>
      <c r="JW82" s="1"/>
      <c r="JX82" s="1"/>
      <c r="JY82" s="1"/>
      <c r="JZ82" s="1"/>
      <c r="KA82" s="1"/>
      <c r="KB82" s="1"/>
      <c r="KC82" s="1"/>
      <c r="KD82" s="1"/>
      <c r="KE82" s="1"/>
      <c r="KF82" s="1"/>
      <c r="KG82" s="1"/>
      <c r="KH82" s="1"/>
      <c r="KI82" s="1"/>
      <c r="KJ82" s="1"/>
      <c r="KK82" s="1"/>
      <c r="KL82" s="1"/>
      <c r="KM82" s="1"/>
      <c r="KN82" s="1"/>
      <c r="KO82" s="1"/>
      <c r="KP82" s="1"/>
      <c r="KQ82" s="1"/>
      <c r="KR82" s="1"/>
      <c r="KS82" s="1"/>
      <c r="KT82" s="1"/>
      <c r="KU82" s="1"/>
      <c r="KV82" s="1"/>
      <c r="KW82" s="1"/>
      <c r="KX82" s="1"/>
      <c r="KY82" s="1"/>
      <c r="KZ82" s="1"/>
      <c r="LA82" s="1"/>
      <c r="LB82" s="1"/>
      <c r="LC82" s="1"/>
      <c r="LD82" s="1"/>
      <c r="LE82" s="1"/>
      <c r="LF82" s="1"/>
      <c r="LG82" s="1"/>
      <c r="LH82" s="1"/>
      <c r="LI82" s="1"/>
      <c r="LJ82" s="1"/>
      <c r="LK82" s="1"/>
      <c r="LL82" s="1"/>
      <c r="LM82" s="1"/>
      <c r="LN82" s="1"/>
      <c r="LO82" s="1"/>
      <c r="LP82" s="1"/>
      <c r="LQ82" s="1"/>
      <c r="LR82" s="1"/>
      <c r="LS82" s="1"/>
      <c r="LT82" s="1"/>
      <c r="LU82" s="1"/>
      <c r="LV82" s="1"/>
      <c r="LW82" s="1"/>
      <c r="LX82" s="1"/>
      <c r="LY82" s="1"/>
      <c r="LZ82" s="1"/>
      <c r="MA82" s="1"/>
      <c r="MB82" s="1"/>
      <c r="MC82" s="1"/>
      <c r="MD82" s="1"/>
      <c r="ME82" s="1"/>
      <c r="MF82" s="1"/>
      <c r="MG82" s="1"/>
      <c r="MH82" s="1"/>
      <c r="MI82" s="1"/>
      <c r="MJ82" s="1"/>
      <c r="MK82" s="1"/>
      <c r="ML82" s="1"/>
      <c r="MM82" s="1"/>
      <c r="MN82" s="1"/>
      <c r="MO82" s="1"/>
      <c r="MP82" s="1"/>
      <c r="MQ82" s="1"/>
      <c r="MR82" s="1"/>
      <c r="MS82" s="1"/>
      <c r="MT82" s="1"/>
      <c r="MU82" s="1"/>
      <c r="MV82" s="1"/>
      <c r="MW82" s="1"/>
      <c r="MX82" s="1"/>
      <c r="MY82" s="1"/>
      <c r="MZ82" s="1"/>
      <c r="NA82" s="1"/>
      <c r="NB82" s="1"/>
      <c r="NC82" s="1"/>
      <c r="ND82" s="1"/>
      <c r="NE82" s="1"/>
      <c r="NF82" s="1"/>
      <c r="NG82" s="1"/>
      <c r="NH82" s="1"/>
      <c r="NI82" s="1"/>
      <c r="NJ82" s="1"/>
      <c r="NK82" s="1"/>
      <c r="NL82" s="1"/>
      <c r="NM82" s="1"/>
      <c r="NN82" s="1"/>
      <c r="NO82" s="1"/>
      <c r="NP82" s="1"/>
      <c r="NQ82" s="1"/>
      <c r="NR82" s="1"/>
      <c r="NS82" s="1"/>
      <c r="NT82" s="1"/>
      <c r="NU82" s="1"/>
      <c r="NV82" s="1"/>
      <c r="NW82" s="1"/>
      <c r="NX82" s="1"/>
      <c r="NY82" s="1"/>
      <c r="NZ82" s="1"/>
      <c r="OA82" s="1"/>
      <c r="OB82" s="1"/>
      <c r="OC82" s="1"/>
      <c r="OD82" s="1"/>
      <c r="OE82" s="1"/>
      <c r="OF82" s="1"/>
      <c r="OG82" s="1"/>
      <c r="OH82" s="1"/>
      <c r="OI82" s="1"/>
      <c r="OJ82" s="1"/>
      <c r="OK82" s="1"/>
      <c r="OL82" s="1"/>
      <c r="OM82" s="1"/>
      <c r="ON82" s="1"/>
      <c r="OO82" s="1"/>
      <c r="OP82" s="1"/>
      <c r="OQ82" s="1"/>
      <c r="OR82" s="1"/>
      <c r="OS82" s="1"/>
      <c r="OT82" s="1"/>
      <c r="OU82" s="1"/>
      <c r="OV82" s="1"/>
      <c r="OW82" s="1"/>
      <c r="OX82" s="1"/>
      <c r="OY82" s="1"/>
      <c r="OZ82" s="1"/>
      <c r="PA82" s="1"/>
      <c r="PB82" s="1"/>
      <c r="PC82" s="1"/>
      <c r="PD82" s="1"/>
      <c r="PE82" s="1"/>
      <c r="PF82" s="1"/>
      <c r="PG82" s="1"/>
      <c r="PH82" s="1"/>
      <c r="PI82" s="1"/>
      <c r="PJ82" s="1"/>
      <c r="PK82" s="1"/>
      <c r="PL82" s="1"/>
      <c r="PM82" s="1"/>
      <c r="PN82" s="1"/>
      <c r="PO82" s="1"/>
      <c r="PP82" s="1"/>
      <c r="PQ82" s="1"/>
      <c r="PR82" s="1"/>
      <c r="PS82" s="1"/>
      <c r="PT82" s="1"/>
      <c r="PU82" s="1"/>
      <c r="PV82" s="1"/>
      <c r="PW82" s="1"/>
      <c r="PX82" s="1"/>
      <c r="PY82" s="1"/>
      <c r="PZ82" s="1"/>
      <c r="QA82" s="1"/>
      <c r="QB82" s="1"/>
      <c r="QC82" s="1"/>
      <c r="QD82" s="1"/>
      <c r="QE82" s="1"/>
      <c r="QF82" s="1"/>
      <c r="QG82" s="1"/>
      <c r="QH82" s="1"/>
      <c r="QI82" s="1"/>
      <c r="QJ82" s="1"/>
      <c r="QK82" s="1"/>
      <c r="QL82" s="1"/>
      <c r="QM82" s="1"/>
      <c r="QN82" s="1"/>
      <c r="QO82" s="1"/>
      <c r="QP82" s="1"/>
      <c r="QQ82" s="1"/>
      <c r="QR82" s="1"/>
      <c r="QS82" s="1"/>
      <c r="QT82" s="1"/>
      <c r="QU82" s="1"/>
      <c r="QV82" s="1"/>
      <c r="QW82" s="1"/>
      <c r="QX82" s="1"/>
      <c r="QY82" s="1"/>
      <c r="QZ82" s="1"/>
      <c r="RA82" s="1"/>
      <c r="RB82" s="1"/>
      <c r="RC82" s="1"/>
      <c r="RD82" s="1"/>
      <c r="RE82" s="1"/>
      <c r="RF82" s="1"/>
      <c r="RG82" s="1"/>
      <c r="RH82" s="1"/>
      <c r="RI82" s="1"/>
      <c r="RJ82" s="1"/>
      <c r="RK82" s="1"/>
      <c r="RL82" s="1"/>
      <c r="RM82" s="1"/>
      <c r="RN82" s="1"/>
      <c r="RO82" s="1"/>
      <c r="RP82" s="1"/>
      <c r="RQ82" s="1"/>
      <c r="RR82" s="1"/>
      <c r="RS82" s="1"/>
      <c r="RT82" s="1"/>
      <c r="RU82" s="1"/>
      <c r="RV82" s="1"/>
      <c r="RW82" s="1"/>
      <c r="RX82" s="1"/>
      <c r="RY82" s="1"/>
      <c r="RZ82" s="1"/>
      <c r="SA82" s="1"/>
      <c r="SB82" s="1"/>
      <c r="SC82" s="1"/>
      <c r="SD82" s="1"/>
      <c r="SE82" s="1"/>
      <c r="SF82" s="1"/>
      <c r="SG82" s="1"/>
      <c r="SH82" s="1"/>
      <c r="SI82" s="1"/>
      <c r="SJ82" s="1"/>
      <c r="SK82" s="1"/>
      <c r="SL82" s="1"/>
      <c r="SM82" s="1"/>
      <c r="SN82" s="1"/>
      <c r="SO82" s="1"/>
      <c r="SP82" s="1"/>
      <c r="SQ82" s="1"/>
      <c r="SR82" s="1"/>
      <c r="SS82" s="1"/>
      <c r="ST82" s="1"/>
      <c r="SU82" s="1"/>
      <c r="SV82" s="1"/>
      <c r="SW82" s="1"/>
      <c r="SX82" s="1"/>
      <c r="SY82" s="1"/>
      <c r="SZ82" s="1"/>
      <c r="TA82" s="1"/>
      <c r="TB82" s="1"/>
      <c r="TC82" s="1"/>
      <c r="TD82" s="1"/>
      <c r="TE82" s="1"/>
      <c r="TF82" s="1"/>
      <c r="TG82" s="1"/>
      <c r="TH82" s="1"/>
      <c r="TI82" s="1"/>
      <c r="TJ82" s="1"/>
      <c r="TK82" s="1"/>
      <c r="TL82" s="1"/>
      <c r="TM82" s="1"/>
      <c r="TN82" s="1"/>
      <c r="TO82" s="1"/>
      <c r="TP82" s="1"/>
      <c r="TQ82" s="1"/>
      <c r="TR82" s="1"/>
      <c r="TS82" s="1"/>
      <c r="TT82" s="1"/>
      <c r="TU82" s="1"/>
      <c r="TV82" s="1"/>
      <c r="TW82" s="1"/>
      <c r="TX82" s="1"/>
      <c r="TY82" s="1"/>
      <c r="TZ82" s="1"/>
      <c r="UA82" s="1"/>
      <c r="UB82" s="1"/>
      <c r="UC82" s="1"/>
      <c r="UD82" s="1"/>
      <c r="UE82" s="1"/>
      <c r="UF82" s="1"/>
      <c r="UG82" s="1"/>
      <c r="UH82" s="1"/>
      <c r="UI82" s="1"/>
      <c r="UJ82" s="1"/>
      <c r="UK82" s="1"/>
      <c r="UL82" s="1"/>
      <c r="UM82" s="1"/>
      <c r="UN82" s="1"/>
      <c r="UO82" s="1"/>
      <c r="UP82" s="1"/>
      <c r="UQ82" s="1"/>
      <c r="UR82" s="1"/>
      <c r="US82" s="1"/>
      <c r="UT82" s="1"/>
      <c r="UU82" s="1"/>
      <c r="UV82" s="1"/>
      <c r="UW82" s="1"/>
      <c r="UX82" s="1"/>
      <c r="UY82" s="1"/>
      <c r="UZ82" s="1"/>
      <c r="VA82" s="1"/>
      <c r="VB82" s="1"/>
      <c r="VC82" s="1"/>
      <c r="VD82" s="1"/>
      <c r="VE82" s="1"/>
      <c r="VF82" s="1"/>
      <c r="VG82" s="1"/>
      <c r="VH82" s="1"/>
      <c r="VI82" s="1"/>
      <c r="VJ82" s="1"/>
      <c r="VK82" s="1"/>
      <c r="VL82" s="1"/>
      <c r="VM82" s="1"/>
      <c r="VN82" s="1"/>
      <c r="VO82" s="1"/>
      <c r="VP82" s="1"/>
      <c r="VQ82" s="1"/>
      <c r="VR82" s="1"/>
      <c r="VS82" s="1"/>
      <c r="VT82" s="1"/>
      <c r="VU82" s="1"/>
      <c r="VV82" s="1"/>
      <c r="VW82" s="1"/>
      <c r="VX82" s="1"/>
      <c r="VY82" s="1"/>
      <c r="VZ82" s="1"/>
      <c r="WA82" s="1"/>
      <c r="WB82" s="1"/>
      <c r="WC82" s="1"/>
      <c r="WD82" s="1"/>
      <c r="WE82" s="1"/>
      <c r="WF82" s="1"/>
      <c r="WG82" s="1"/>
      <c r="WH82" s="1"/>
      <c r="WI82" s="1"/>
      <c r="WJ82" s="1"/>
      <c r="WK82" s="1"/>
      <c r="WL82" s="1"/>
      <c r="WM82" s="1"/>
      <c r="WN82" s="1"/>
      <c r="WO82" s="1"/>
      <c r="WP82" s="1"/>
      <c r="WQ82" s="1"/>
      <c r="WR82" s="1"/>
      <c r="WS82" s="1"/>
      <c r="WT82" s="1"/>
      <c r="WU82" s="1"/>
      <c r="WV82" s="1"/>
      <c r="WW82" s="1"/>
      <c r="WX82" s="1"/>
      <c r="WY82" s="1"/>
      <c r="WZ82" s="1"/>
      <c r="XA82" s="1"/>
      <c r="XB82" s="1"/>
      <c r="XC82" s="1"/>
      <c r="XD82" s="1"/>
      <c r="XE82" s="1"/>
      <c r="XF82" s="1"/>
      <c r="XG82" s="1"/>
      <c r="XH82" s="1"/>
      <c r="XI82" s="1"/>
      <c r="XJ82" s="1"/>
      <c r="XK82" s="1"/>
      <c r="XL82" s="1"/>
      <c r="XM82" s="1"/>
      <c r="XN82" s="1"/>
      <c r="XO82" s="1"/>
      <c r="XP82" s="1"/>
      <c r="XQ82" s="1"/>
      <c r="XR82" s="1"/>
      <c r="XS82" s="1"/>
      <c r="XT82" s="1"/>
      <c r="XU82" s="1"/>
      <c r="XV82" s="1"/>
      <c r="XW82" s="1"/>
      <c r="XX82" s="1"/>
      <c r="XY82" s="1"/>
      <c r="XZ82" s="1"/>
      <c r="YA82" s="1"/>
      <c r="YB82" s="1"/>
      <c r="YC82" s="1"/>
      <c r="YD82" s="1"/>
      <c r="YE82" s="1"/>
      <c r="YF82" s="1"/>
      <c r="YG82" s="1"/>
      <c r="YH82" s="1"/>
      <c r="YI82" s="1"/>
      <c r="YJ82" s="1"/>
      <c r="YK82" s="1"/>
      <c r="YL82" s="1"/>
      <c r="YM82" s="1"/>
      <c r="YN82" s="1"/>
      <c r="YO82" s="1"/>
      <c r="YP82" s="1"/>
      <c r="YQ82" s="1"/>
      <c r="YR82" s="1"/>
      <c r="YS82" s="1"/>
      <c r="YT82" s="1"/>
      <c r="YU82" s="1"/>
      <c r="YV82" s="1"/>
      <c r="YW82" s="1"/>
      <c r="YX82" s="1"/>
      <c r="YY82" s="1"/>
      <c r="YZ82" s="1"/>
      <c r="ZA82" s="1"/>
      <c r="ZB82" s="1"/>
      <c r="ZC82" s="1"/>
      <c r="ZD82" s="1"/>
      <c r="ZE82" s="1"/>
      <c r="ZF82" s="1"/>
      <c r="ZG82" s="1"/>
      <c r="ZH82" s="1"/>
      <c r="ZI82" s="1"/>
      <c r="ZJ82" s="1"/>
      <c r="ZK82" s="1"/>
      <c r="ZL82" s="1"/>
      <c r="ZM82" s="1"/>
      <c r="ZN82" s="1"/>
      <c r="ZO82" s="1"/>
      <c r="ZP82" s="1"/>
      <c r="ZQ82" s="1"/>
      <c r="ZR82" s="1"/>
      <c r="ZS82" s="1"/>
      <c r="ZT82" s="1"/>
      <c r="ZU82" s="1"/>
      <c r="ZV82" s="1"/>
      <c r="ZW82" s="1"/>
      <c r="ZX82" s="1"/>
      <c r="ZY82" s="1"/>
      <c r="ZZ82" s="1"/>
      <c r="AAA82" s="1"/>
      <c r="AAB82" s="1"/>
      <c r="AAC82" s="1"/>
      <c r="AAD82" s="1"/>
      <c r="AAE82" s="1"/>
      <c r="AAF82" s="1"/>
      <c r="AAG82" s="1"/>
      <c r="AAH82" s="1"/>
      <c r="AAI82" s="1"/>
      <c r="AAJ82" s="1"/>
      <c r="AAK82" s="1"/>
      <c r="AAL82" s="1"/>
      <c r="AAM82" s="1"/>
      <c r="AAN82" s="1"/>
      <c r="AAO82" s="1"/>
      <c r="AAP82" s="1"/>
      <c r="AAQ82" s="1"/>
      <c r="AAR82" s="1"/>
      <c r="AAS82" s="1"/>
      <c r="AAT82" s="1"/>
      <c r="AAU82" s="1"/>
      <c r="AAV82" s="1"/>
      <c r="AAW82" s="1"/>
      <c r="AAX82" s="1"/>
      <c r="AAY82" s="1"/>
      <c r="AAZ82" s="1"/>
      <c r="ABA82" s="1"/>
      <c r="ABB82" s="1"/>
      <c r="ABC82" s="1"/>
      <c r="ABD82" s="1"/>
      <c r="ABE82" s="1"/>
      <c r="ABF82" s="1"/>
      <c r="ABG82" s="1"/>
      <c r="ABH82" s="1"/>
      <c r="ABI82" s="1"/>
      <c r="ABJ82" s="1"/>
      <c r="ABK82" s="1"/>
      <c r="ABL82" s="1"/>
      <c r="ABM82" s="1"/>
      <c r="ABN82" s="1"/>
      <c r="ABO82" s="1"/>
      <c r="ABP82" s="1"/>
      <c r="ABQ82" s="1"/>
      <c r="ABR82" s="1"/>
      <c r="ABS82" s="1"/>
      <c r="ABT82" s="1"/>
      <c r="ABU82" s="1"/>
      <c r="ABV82" s="1"/>
      <c r="ABW82" s="1"/>
      <c r="ABX82" s="1"/>
      <c r="ABY82" s="1"/>
      <c r="ABZ82" s="1"/>
      <c r="ACA82" s="1"/>
      <c r="ACB82" s="1"/>
      <c r="ACC82" s="1"/>
      <c r="ACD82" s="1"/>
      <c r="ACE82" s="1"/>
      <c r="ACF82" s="1"/>
      <c r="ACG82" s="1"/>
      <c r="ACH82" s="1"/>
      <c r="ACI82" s="1"/>
      <c r="ACJ82" s="1"/>
      <c r="ACK82" s="1"/>
      <c r="ACL82" s="1"/>
      <c r="ACM82" s="1"/>
      <c r="ACN82" s="1"/>
      <c r="ACO82" s="1"/>
      <c r="ACP82" s="1"/>
      <c r="ACQ82" s="1"/>
      <c r="ACR82" s="1"/>
      <c r="ACS82" s="1"/>
      <c r="ACT82" s="1"/>
      <c r="ACU82" s="1"/>
      <c r="ACV82" s="1"/>
      <c r="ACW82" s="1"/>
      <c r="ACX82" s="1"/>
      <c r="ACY82" s="1"/>
      <c r="ACZ82" s="1"/>
      <c r="ADA82" s="1"/>
      <c r="ADB82" s="1"/>
      <c r="ADC82" s="1"/>
      <c r="ADD82" s="1"/>
      <c r="ADE82" s="1"/>
      <c r="ADF82" s="1"/>
      <c r="ADG82" s="1"/>
      <c r="ADH82" s="1"/>
      <c r="ADI82" s="1"/>
      <c r="ADJ82" s="1"/>
      <c r="ADK82" s="1"/>
      <c r="ADL82" s="1"/>
      <c r="ADM82" s="1"/>
      <c r="ADN82" s="1"/>
      <c r="ADO82" s="1"/>
      <c r="ADP82" s="1"/>
      <c r="ADQ82" s="1"/>
      <c r="ADR82" s="1"/>
      <c r="ADS82" s="1"/>
      <c r="ADT82" s="1"/>
      <c r="ADU82" s="1"/>
      <c r="ADV82" s="1"/>
      <c r="ADW82" s="1"/>
      <c r="ADX82" s="1"/>
      <c r="ADY82" s="1"/>
      <c r="ADZ82" s="1"/>
      <c r="AEA82" s="1"/>
      <c r="AEB82" s="1"/>
      <c r="AEC82" s="1"/>
      <c r="AED82" s="1"/>
      <c r="AEE82" s="1"/>
      <c r="AEF82" s="1"/>
      <c r="AEG82" s="1"/>
      <c r="AEH82" s="1"/>
      <c r="AEI82" s="1"/>
      <c r="AEJ82" s="1"/>
      <c r="AEK82" s="1"/>
      <c r="AEL82" s="1"/>
      <c r="AEM82" s="1"/>
      <c r="AEN82" s="1"/>
      <c r="AEO82" s="1"/>
      <c r="AEP82" s="1"/>
      <c r="AEQ82" s="1"/>
      <c r="AER82" s="1"/>
      <c r="AES82" s="1"/>
      <c r="AET82" s="1"/>
      <c r="AEU82" s="1"/>
      <c r="AEV82" s="1"/>
      <c r="AEW82" s="1"/>
      <c r="AEX82" s="1"/>
      <c r="AEY82" s="1"/>
      <c r="AEZ82" s="1"/>
      <c r="AFA82" s="1"/>
      <c r="AFB82" s="1"/>
      <c r="AFC82" s="1"/>
      <c r="AFD82" s="1"/>
      <c r="AFE82" s="1"/>
      <c r="AFF82" s="1"/>
      <c r="AFG82" s="1"/>
      <c r="AFH82" s="1"/>
      <c r="AFI82" s="1"/>
      <c r="AFJ82" s="1"/>
      <c r="AFK82" s="1"/>
      <c r="AFL82" s="1"/>
      <c r="AFM82" s="1"/>
      <c r="AFN82" s="1"/>
      <c r="AFO82" s="1"/>
      <c r="AFP82" s="1"/>
      <c r="AFQ82" s="1"/>
      <c r="AFR82" s="1"/>
      <c r="AFS82" s="1"/>
      <c r="AFT82" s="1"/>
      <c r="AFU82" s="1"/>
      <c r="AFV82" s="1"/>
      <c r="AFW82" s="1"/>
      <c r="AFX82" s="1"/>
      <c r="AFY82" s="1"/>
      <c r="AFZ82" s="1"/>
      <c r="AGA82" s="1"/>
      <c r="AGB82" s="1"/>
      <c r="AGC82" s="1"/>
      <c r="AGD82" s="1"/>
      <c r="AGE82" s="1"/>
      <c r="AGF82" s="1"/>
      <c r="AGG82" s="1"/>
      <c r="AGH82" s="1"/>
      <c r="AGI82" s="1"/>
      <c r="AGJ82" s="1"/>
      <c r="AGK82" s="1"/>
      <c r="AGL82" s="1"/>
      <c r="AGM82" s="1"/>
      <c r="AGN82" s="1"/>
      <c r="AGO82" s="1"/>
      <c r="AGP82" s="1"/>
      <c r="AGQ82" s="1"/>
      <c r="AGR82" s="1"/>
      <c r="AGS82" s="1"/>
      <c r="AGT82" s="1"/>
      <c r="AGU82" s="1"/>
      <c r="AGV82" s="1"/>
      <c r="AGW82" s="1"/>
      <c r="AGX82" s="1"/>
      <c r="AGY82" s="1"/>
      <c r="AGZ82" s="1"/>
      <c r="AHA82" s="1"/>
      <c r="AHB82" s="1"/>
      <c r="AHC82" s="1"/>
      <c r="AHD82" s="1"/>
      <c r="AHE82" s="1"/>
      <c r="AHF82" s="1"/>
      <c r="AHG82" s="1"/>
      <c r="AHH82" s="1"/>
      <c r="AHI82" s="1"/>
      <c r="AHJ82" s="1"/>
      <c r="AHK82" s="1"/>
      <c r="AHL82" s="1"/>
      <c r="AHM82" s="1"/>
      <c r="AHN82" s="1"/>
      <c r="AHO82" s="1"/>
      <c r="AHP82" s="1"/>
      <c r="AHQ82" s="1"/>
      <c r="AHR82" s="1"/>
      <c r="AHS82" s="1"/>
      <c r="AHT82" s="1"/>
      <c r="AHU82" s="1"/>
      <c r="AHV82" s="1"/>
      <c r="AHW82" s="1"/>
      <c r="AHX82" s="1"/>
      <c r="AHY82" s="1"/>
      <c r="AHZ82" s="1"/>
      <c r="AIA82" s="1"/>
      <c r="AIB82" s="1"/>
      <c r="AIC82" s="1"/>
      <c r="AID82" s="1"/>
      <c r="AIE82" s="1"/>
      <c r="AIF82" s="1"/>
      <c r="AIG82" s="1"/>
      <c r="AIH82" s="1"/>
      <c r="AII82" s="1"/>
      <c r="AIJ82" s="1"/>
      <c r="AIK82" s="1"/>
      <c r="AIL82" s="1"/>
      <c r="AIM82" s="1"/>
      <c r="AIN82" s="1"/>
      <c r="AIO82" s="1"/>
      <c r="AIP82" s="1"/>
      <c r="AIQ82" s="1"/>
      <c r="AIR82" s="1"/>
      <c r="AIS82" s="1"/>
      <c r="AIT82" s="1"/>
      <c r="AIU82" s="1"/>
      <c r="AIV82" s="1"/>
      <c r="AIW82" s="1"/>
      <c r="AIX82" s="1"/>
      <c r="AIY82" s="1"/>
      <c r="AIZ82" s="1"/>
      <c r="AJA82" s="1"/>
      <c r="AJB82" s="1"/>
      <c r="AJC82" s="1"/>
      <c r="AJD82" s="1"/>
      <c r="AJE82" s="1"/>
      <c r="AJF82" s="1"/>
      <c r="AJG82" s="1"/>
      <c r="AJH82" s="1"/>
      <c r="AJI82" s="1"/>
      <c r="AJJ82" s="1"/>
      <c r="AJK82" s="1"/>
      <c r="AJL82" s="1"/>
      <c r="AJM82" s="1"/>
      <c r="AJN82" s="1"/>
      <c r="AJO82" s="1"/>
      <c r="AJP82" s="1"/>
      <c r="AJQ82" s="1"/>
      <c r="AJR82" s="1"/>
      <c r="AJS82" s="1"/>
      <c r="AJT82" s="1"/>
      <c r="AJU82" s="1"/>
      <c r="AJV82" s="1"/>
      <c r="AJW82" s="1"/>
      <c r="AJX82" s="1"/>
      <c r="AJY82" s="1"/>
      <c r="AJZ82" s="1"/>
      <c r="AKA82" s="1"/>
      <c r="AKB82" s="1"/>
      <c r="AKC82" s="1"/>
      <c r="AKD82" s="1"/>
      <c r="AKE82" s="1"/>
      <c r="AKF82" s="1"/>
      <c r="AKG82" s="1"/>
      <c r="AKH82" s="1"/>
      <c r="AKI82" s="1"/>
      <c r="AKJ82" s="1"/>
      <c r="AKK82" s="1"/>
      <c r="AKL82" s="1"/>
      <c r="AKM82" s="1"/>
      <c r="AKN82" s="1"/>
      <c r="AKO82" s="1"/>
      <c r="AKP82" s="1"/>
      <c r="AKQ82" s="1"/>
      <c r="AKR82" s="1"/>
      <c r="AKS82" s="1"/>
      <c r="AKT82" s="1"/>
      <c r="AKU82" s="1"/>
      <c r="AKV82" s="1"/>
      <c r="AKW82" s="1"/>
      <c r="AKX82" s="1"/>
      <c r="AKY82" s="1"/>
      <c r="AKZ82" s="1"/>
      <c r="ALA82" s="1"/>
      <c r="ALB82" s="1"/>
      <c r="ALC82" s="1"/>
      <c r="ALD82" s="1"/>
      <c r="ALE82" s="1"/>
      <c r="ALF82" s="1"/>
      <c r="ALG82" s="1"/>
      <c r="ALH82" s="1"/>
      <c r="ALI82" s="1"/>
      <c r="ALJ82" s="1"/>
      <c r="ALK82" s="1"/>
      <c r="ALL82" s="1"/>
      <c r="ALM82" s="1"/>
      <c r="ALN82" s="1"/>
      <c r="ALO82" s="1"/>
      <c r="ALP82" s="1"/>
      <c r="ALQ82" s="1"/>
      <c r="ALR82" s="1"/>
      <c r="ALS82" s="1"/>
      <c r="ALT82" s="1"/>
      <c r="ALU82" s="1"/>
      <c r="ALV82" s="1"/>
      <c r="ALW82" s="1"/>
      <c r="ALX82" s="1"/>
      <c r="ALY82" s="1"/>
      <c r="ALZ82" s="1"/>
      <c r="AMA82" s="1"/>
      <c r="AMB82" s="1"/>
      <c r="AMC82" s="1"/>
      <c r="AMD82" s="1"/>
      <c r="AME82" s="1"/>
      <c r="AMF82" s="1"/>
      <c r="AMG82" s="1"/>
      <c r="AMH82" s="1"/>
      <c r="AMI82" s="1"/>
      <c r="AMJ82" s="1"/>
      <c r="AMK82" s="1"/>
    </row>
    <row r="83" spans="1:1025" s="1352" customFormat="1" ht="31.5">
      <c r="A83" s="1346" t="s">
        <v>51</v>
      </c>
      <c r="B83" s="1277" t="s">
        <v>2088</v>
      </c>
      <c r="C83" s="1347">
        <v>41773000</v>
      </c>
      <c r="D83" s="1348">
        <v>41573000</v>
      </c>
      <c r="E83" s="1349">
        <v>31247000</v>
      </c>
      <c r="F83" s="1350">
        <f>E83/D83</f>
        <v>0.7516176364467323</v>
      </c>
      <c r="G83" s="1351"/>
      <c r="H83" s="1351"/>
      <c r="I83" s="1351"/>
      <c r="J83" s="1351"/>
      <c r="L83" s="1351"/>
      <c r="M83" s="1351"/>
      <c r="N83" s="1351"/>
      <c r="O83" s="1351"/>
      <c r="P83" s="1351"/>
      <c r="Q83" s="1351"/>
      <c r="R83" s="1351"/>
      <c r="S83" s="1351"/>
      <c r="T83" s="1351"/>
      <c r="U83" s="1351"/>
      <c r="V83" s="1351"/>
      <c r="W83" s="1351"/>
      <c r="X83" s="1351"/>
      <c r="Y83" s="1351"/>
      <c r="Z83" s="1351"/>
      <c r="AA83" s="1351"/>
      <c r="AB83" s="1351"/>
      <c r="AC83" s="1351"/>
      <c r="AD83" s="1351"/>
      <c r="AE83" s="1351"/>
      <c r="AF83" s="1351"/>
      <c r="AG83" s="1351"/>
      <c r="AH83" s="1351"/>
      <c r="AI83" s="1351"/>
      <c r="AJ83" s="1351"/>
      <c r="AK83" s="1351"/>
      <c r="AL83" s="1351"/>
      <c r="AM83" s="1351"/>
      <c r="AN83" s="1351"/>
      <c r="AO83" s="1351"/>
      <c r="AP83" s="1351"/>
      <c r="AQ83" s="1351"/>
      <c r="AR83" s="1351"/>
      <c r="AS83" s="1351"/>
      <c r="AT83" s="1351"/>
      <c r="AU83" s="1351"/>
      <c r="AV83" s="1351"/>
      <c r="AW83" s="1351"/>
      <c r="AX83" s="1351"/>
      <c r="AY83" s="1351"/>
      <c r="AZ83" s="1351"/>
      <c r="BA83" s="1351"/>
      <c r="BB83" s="1351"/>
      <c r="BC83" s="1351"/>
      <c r="BD83" s="1351"/>
      <c r="BE83" s="1351"/>
      <c r="BF83" s="1351"/>
      <c r="BG83" s="1351"/>
      <c r="BH83" s="1351"/>
      <c r="BI83" s="1351"/>
      <c r="BJ83" s="1351"/>
      <c r="BK83" s="1351"/>
      <c r="BL83" s="1351"/>
      <c r="BM83" s="1351"/>
      <c r="BN83" s="1351"/>
      <c r="BO83" s="1351"/>
      <c r="BP83" s="1351"/>
      <c r="BQ83" s="1351"/>
      <c r="BR83" s="1351"/>
      <c r="BS83" s="1351"/>
      <c r="BT83" s="1351"/>
      <c r="BU83" s="1351"/>
      <c r="BV83" s="1351"/>
      <c r="BW83" s="1351"/>
      <c r="BX83" s="1351"/>
      <c r="BY83" s="1351"/>
      <c r="BZ83" s="1351"/>
      <c r="CA83" s="1351"/>
      <c r="CB83" s="1351"/>
      <c r="CC83" s="1351"/>
      <c r="CD83" s="1351"/>
      <c r="CE83" s="1351"/>
      <c r="CF83" s="1351"/>
      <c r="CG83" s="1351"/>
      <c r="CH83" s="1351"/>
      <c r="CI83" s="1351"/>
      <c r="CJ83" s="1351"/>
      <c r="CK83" s="1351"/>
      <c r="CL83" s="1351"/>
      <c r="CM83" s="1351"/>
      <c r="CN83" s="1351"/>
      <c r="CO83" s="1351"/>
      <c r="CP83" s="1351"/>
      <c r="CQ83" s="1351"/>
      <c r="CR83" s="1351"/>
      <c r="CS83" s="1351"/>
      <c r="CT83" s="1351"/>
      <c r="CU83" s="1351"/>
      <c r="CV83" s="1351"/>
      <c r="CW83" s="1351"/>
      <c r="CX83" s="1351"/>
      <c r="CY83" s="1351"/>
      <c r="CZ83" s="1351"/>
      <c r="DA83" s="1351"/>
      <c r="DB83" s="1351"/>
      <c r="DC83" s="1351"/>
      <c r="DD83" s="1351"/>
      <c r="DE83" s="1351"/>
      <c r="DF83" s="1351"/>
      <c r="DG83" s="1351"/>
      <c r="DH83" s="1351"/>
      <c r="DI83" s="1351"/>
      <c r="DJ83" s="1351"/>
      <c r="DK83" s="1351"/>
      <c r="DL83" s="1351"/>
      <c r="DM83" s="1351"/>
      <c r="DN83" s="1351"/>
      <c r="DO83" s="1351"/>
      <c r="DP83" s="1351"/>
      <c r="DQ83" s="1351"/>
      <c r="DR83" s="1351"/>
      <c r="DS83" s="1351"/>
      <c r="DT83" s="1351"/>
      <c r="DU83" s="1351"/>
      <c r="DV83" s="1351"/>
      <c r="DW83" s="1351"/>
      <c r="DX83" s="1351"/>
      <c r="DY83" s="1351"/>
      <c r="DZ83" s="1351"/>
      <c r="EA83" s="1351"/>
      <c r="EB83" s="1351"/>
      <c r="EC83" s="1351"/>
      <c r="ED83" s="1351"/>
      <c r="EE83" s="1351"/>
      <c r="EF83" s="1351"/>
      <c r="EG83" s="1351"/>
      <c r="EH83" s="1351"/>
      <c r="EI83" s="1351"/>
      <c r="EJ83" s="1351"/>
      <c r="EK83" s="1351"/>
      <c r="EL83" s="1351"/>
      <c r="EM83" s="1351"/>
      <c r="EN83" s="1351"/>
      <c r="EO83" s="1351"/>
      <c r="EP83" s="1351"/>
      <c r="EQ83" s="1351"/>
      <c r="ER83" s="1351"/>
      <c r="ES83" s="1351"/>
      <c r="ET83" s="1351"/>
      <c r="EU83" s="1351"/>
      <c r="EV83" s="1351"/>
      <c r="EW83" s="1351"/>
      <c r="EX83" s="1351"/>
      <c r="EY83" s="1351"/>
      <c r="EZ83" s="1351"/>
      <c r="FA83" s="1351"/>
      <c r="FB83" s="1351"/>
      <c r="FC83" s="1351"/>
      <c r="FD83" s="1351"/>
      <c r="FE83" s="1351"/>
      <c r="FF83" s="1351"/>
      <c r="FG83" s="1351"/>
      <c r="FH83" s="1351"/>
      <c r="FI83" s="1351"/>
      <c r="FJ83" s="1351"/>
      <c r="FK83" s="1351"/>
      <c r="FL83" s="1351"/>
      <c r="FM83" s="1351"/>
      <c r="FN83" s="1351"/>
      <c r="FO83" s="1351"/>
      <c r="FP83" s="1351"/>
      <c r="FQ83" s="1351"/>
      <c r="FR83" s="1351"/>
      <c r="FS83" s="1351"/>
      <c r="FT83" s="1351"/>
      <c r="FU83" s="1351"/>
      <c r="FV83" s="1351"/>
      <c r="FW83" s="1351"/>
      <c r="FX83" s="1351"/>
      <c r="FY83" s="1351"/>
      <c r="FZ83" s="1351"/>
      <c r="GA83" s="1351"/>
      <c r="GB83" s="1351"/>
      <c r="GC83" s="1351"/>
      <c r="GD83" s="1351"/>
      <c r="GE83" s="1351"/>
      <c r="GF83" s="1351"/>
      <c r="GG83" s="1351"/>
      <c r="GH83" s="1351"/>
      <c r="GI83" s="1351"/>
      <c r="GJ83" s="1351"/>
      <c r="GK83" s="1351"/>
      <c r="GL83" s="1351"/>
      <c r="GM83" s="1351"/>
      <c r="GN83" s="1351"/>
      <c r="GO83" s="1351"/>
      <c r="GP83" s="1351"/>
      <c r="GQ83" s="1351"/>
      <c r="GR83" s="1351"/>
      <c r="GS83" s="1351"/>
      <c r="GT83" s="1351"/>
      <c r="GU83" s="1351"/>
      <c r="GV83" s="1351"/>
      <c r="GW83" s="1351"/>
      <c r="GX83" s="1351"/>
      <c r="GY83" s="1351"/>
      <c r="GZ83" s="1351"/>
      <c r="HA83" s="1351"/>
      <c r="HB83" s="1351"/>
      <c r="HC83" s="1351"/>
      <c r="HD83" s="1351"/>
      <c r="HE83" s="1351"/>
      <c r="HF83" s="1351"/>
      <c r="HG83" s="1351"/>
      <c r="HH83" s="1351"/>
      <c r="HI83" s="1351"/>
      <c r="HJ83" s="1351"/>
      <c r="HK83" s="1351"/>
      <c r="HL83" s="1351"/>
      <c r="HM83" s="1351"/>
      <c r="HN83" s="1351"/>
      <c r="HO83" s="1351"/>
      <c r="HP83" s="1351"/>
      <c r="HQ83" s="1351"/>
      <c r="HR83" s="1351"/>
      <c r="HS83" s="1351"/>
      <c r="HT83" s="1351"/>
      <c r="HU83" s="1351"/>
      <c r="HV83" s="1351"/>
      <c r="HW83" s="1351"/>
      <c r="HX83" s="1351"/>
      <c r="HY83" s="1351"/>
      <c r="HZ83" s="1351"/>
      <c r="IA83" s="1351"/>
      <c r="IB83" s="1351"/>
      <c r="IC83" s="1351"/>
      <c r="ID83" s="1351"/>
      <c r="IE83" s="1351"/>
      <c r="IF83" s="1351"/>
      <c r="IG83" s="1351"/>
      <c r="IH83" s="1351"/>
      <c r="II83" s="1351"/>
      <c r="IJ83" s="1351"/>
      <c r="IK83" s="1351"/>
      <c r="IL83" s="1351"/>
      <c r="IM83" s="1351"/>
      <c r="IN83" s="1351"/>
      <c r="IO83" s="1351"/>
      <c r="IP83" s="1351"/>
      <c r="IQ83" s="1351"/>
      <c r="IR83" s="1351"/>
      <c r="IS83" s="1351"/>
      <c r="IT83" s="1351"/>
      <c r="IU83" s="1351"/>
      <c r="IV83" s="1351"/>
      <c r="IW83" s="1351"/>
      <c r="IX83" s="1351"/>
      <c r="IY83" s="1351"/>
      <c r="IZ83" s="1351"/>
      <c r="JA83" s="1351"/>
      <c r="JB83" s="1351"/>
      <c r="JC83" s="1351"/>
      <c r="JD83" s="1351"/>
      <c r="JE83" s="1351"/>
      <c r="JF83" s="1351"/>
      <c r="JG83" s="1351"/>
      <c r="JH83" s="1351"/>
      <c r="JI83" s="1351"/>
      <c r="JJ83" s="1351"/>
      <c r="JK83" s="1351"/>
      <c r="JL83" s="1351"/>
      <c r="JM83" s="1351"/>
      <c r="JN83" s="1351"/>
      <c r="JO83" s="1351"/>
      <c r="JP83" s="1351"/>
      <c r="JQ83" s="1351"/>
      <c r="JR83" s="1351"/>
      <c r="JS83" s="1351"/>
      <c r="JT83" s="1351"/>
      <c r="JU83" s="1351"/>
      <c r="JV83" s="1351"/>
      <c r="JW83" s="1351"/>
      <c r="JX83" s="1351"/>
      <c r="JY83" s="1351"/>
      <c r="JZ83" s="1351"/>
      <c r="KA83" s="1351"/>
      <c r="KB83" s="1351"/>
      <c r="KC83" s="1351"/>
      <c r="KD83" s="1351"/>
      <c r="KE83" s="1351"/>
      <c r="KF83" s="1351"/>
      <c r="KG83" s="1351"/>
      <c r="KH83" s="1351"/>
      <c r="KI83" s="1351"/>
      <c r="KJ83" s="1351"/>
      <c r="KK83" s="1351"/>
      <c r="KL83" s="1351"/>
      <c r="KM83" s="1351"/>
      <c r="KN83" s="1351"/>
      <c r="KO83" s="1351"/>
      <c r="KP83" s="1351"/>
      <c r="KQ83" s="1351"/>
      <c r="KR83" s="1351"/>
      <c r="KS83" s="1351"/>
      <c r="KT83" s="1351"/>
      <c r="KU83" s="1351"/>
      <c r="KV83" s="1351"/>
      <c r="KW83" s="1351"/>
      <c r="KX83" s="1351"/>
      <c r="KY83" s="1351"/>
      <c r="KZ83" s="1351"/>
      <c r="LA83" s="1351"/>
      <c r="LB83" s="1351"/>
      <c r="LC83" s="1351"/>
      <c r="LD83" s="1351"/>
      <c r="LE83" s="1351"/>
      <c r="LF83" s="1351"/>
      <c r="LG83" s="1351"/>
      <c r="LH83" s="1351"/>
      <c r="LI83" s="1351"/>
      <c r="LJ83" s="1351"/>
      <c r="LK83" s="1351"/>
      <c r="LL83" s="1351"/>
      <c r="LM83" s="1351"/>
      <c r="LN83" s="1351"/>
      <c r="LO83" s="1351"/>
      <c r="LP83" s="1351"/>
      <c r="LQ83" s="1351"/>
      <c r="LR83" s="1351"/>
      <c r="LS83" s="1351"/>
      <c r="LT83" s="1351"/>
      <c r="LU83" s="1351"/>
      <c r="LV83" s="1351"/>
      <c r="LW83" s="1351"/>
      <c r="LX83" s="1351"/>
      <c r="LY83" s="1351"/>
      <c r="LZ83" s="1351"/>
      <c r="MA83" s="1351"/>
      <c r="MB83" s="1351"/>
      <c r="MC83" s="1351"/>
      <c r="MD83" s="1351"/>
      <c r="ME83" s="1351"/>
      <c r="MF83" s="1351"/>
      <c r="MG83" s="1351"/>
      <c r="MH83" s="1351"/>
      <c r="MI83" s="1351"/>
      <c r="MJ83" s="1351"/>
      <c r="MK83" s="1351"/>
      <c r="ML83" s="1351"/>
      <c r="MM83" s="1351"/>
      <c r="MN83" s="1351"/>
      <c r="MO83" s="1351"/>
      <c r="MP83" s="1351"/>
      <c r="MQ83" s="1351"/>
      <c r="MR83" s="1351"/>
      <c r="MS83" s="1351"/>
      <c r="MT83" s="1351"/>
      <c r="MU83" s="1351"/>
      <c r="MV83" s="1351"/>
      <c r="MW83" s="1351"/>
      <c r="MX83" s="1351"/>
      <c r="MY83" s="1351"/>
      <c r="MZ83" s="1351"/>
      <c r="NA83" s="1351"/>
      <c r="NB83" s="1351"/>
      <c r="NC83" s="1351"/>
      <c r="ND83" s="1351"/>
      <c r="NE83" s="1351"/>
      <c r="NF83" s="1351"/>
      <c r="NG83" s="1351"/>
      <c r="NH83" s="1351"/>
      <c r="NI83" s="1351"/>
      <c r="NJ83" s="1351"/>
      <c r="NK83" s="1351"/>
      <c r="NL83" s="1351"/>
      <c r="NM83" s="1351"/>
      <c r="NN83" s="1351"/>
      <c r="NO83" s="1351"/>
      <c r="NP83" s="1351"/>
      <c r="NQ83" s="1351"/>
      <c r="NR83" s="1351"/>
      <c r="NS83" s="1351"/>
      <c r="NT83" s="1351"/>
      <c r="NU83" s="1351"/>
      <c r="NV83" s="1351"/>
      <c r="NW83" s="1351"/>
      <c r="NX83" s="1351"/>
      <c r="NY83" s="1351"/>
      <c r="NZ83" s="1351"/>
      <c r="OA83" s="1351"/>
      <c r="OB83" s="1351"/>
      <c r="OC83" s="1351"/>
      <c r="OD83" s="1351"/>
      <c r="OE83" s="1351"/>
      <c r="OF83" s="1351"/>
      <c r="OG83" s="1351"/>
      <c r="OH83" s="1351"/>
      <c r="OI83" s="1351"/>
      <c r="OJ83" s="1351"/>
      <c r="OK83" s="1351"/>
      <c r="OL83" s="1351"/>
      <c r="OM83" s="1351"/>
      <c r="ON83" s="1351"/>
      <c r="OO83" s="1351"/>
      <c r="OP83" s="1351"/>
      <c r="OQ83" s="1351"/>
      <c r="OR83" s="1351"/>
      <c r="OS83" s="1351"/>
      <c r="OT83" s="1351"/>
      <c r="OU83" s="1351"/>
      <c r="OV83" s="1351"/>
      <c r="OW83" s="1351"/>
      <c r="OX83" s="1351"/>
      <c r="OY83" s="1351"/>
      <c r="OZ83" s="1351"/>
      <c r="PA83" s="1351"/>
      <c r="PB83" s="1351"/>
      <c r="PC83" s="1351"/>
      <c r="PD83" s="1351"/>
      <c r="PE83" s="1351"/>
      <c r="PF83" s="1351"/>
      <c r="PG83" s="1351"/>
      <c r="PH83" s="1351"/>
      <c r="PI83" s="1351"/>
      <c r="PJ83" s="1351"/>
      <c r="PK83" s="1351"/>
      <c r="PL83" s="1351"/>
      <c r="PM83" s="1351"/>
      <c r="PN83" s="1351"/>
      <c r="PO83" s="1351"/>
      <c r="PP83" s="1351"/>
      <c r="PQ83" s="1351"/>
      <c r="PR83" s="1351"/>
      <c r="PS83" s="1351"/>
      <c r="PT83" s="1351"/>
      <c r="PU83" s="1351"/>
      <c r="PV83" s="1351"/>
      <c r="PW83" s="1351"/>
      <c r="PX83" s="1351"/>
      <c r="PY83" s="1351"/>
      <c r="PZ83" s="1351"/>
      <c r="QA83" s="1351"/>
      <c r="QB83" s="1351"/>
      <c r="QC83" s="1351"/>
      <c r="QD83" s="1351"/>
      <c r="QE83" s="1351"/>
      <c r="QF83" s="1351"/>
      <c r="QG83" s="1351"/>
      <c r="QH83" s="1351"/>
      <c r="QI83" s="1351"/>
      <c r="QJ83" s="1351"/>
      <c r="QK83" s="1351"/>
      <c r="QL83" s="1351"/>
      <c r="QM83" s="1351"/>
      <c r="QN83" s="1351"/>
      <c r="QO83" s="1351"/>
      <c r="QP83" s="1351"/>
      <c r="QQ83" s="1351"/>
      <c r="QR83" s="1351"/>
      <c r="QS83" s="1351"/>
      <c r="QT83" s="1351"/>
      <c r="QU83" s="1351"/>
      <c r="QV83" s="1351"/>
      <c r="QW83" s="1351"/>
      <c r="QX83" s="1351"/>
      <c r="QY83" s="1351"/>
      <c r="QZ83" s="1351"/>
      <c r="RA83" s="1351"/>
      <c r="RB83" s="1351"/>
      <c r="RC83" s="1351"/>
      <c r="RD83" s="1351"/>
      <c r="RE83" s="1351"/>
      <c r="RF83" s="1351"/>
      <c r="RG83" s="1351"/>
      <c r="RH83" s="1351"/>
      <c r="RI83" s="1351"/>
      <c r="RJ83" s="1351"/>
      <c r="RK83" s="1351"/>
      <c r="RL83" s="1351"/>
      <c r="RM83" s="1351"/>
      <c r="RN83" s="1351"/>
      <c r="RO83" s="1351"/>
      <c r="RP83" s="1351"/>
      <c r="RQ83" s="1351"/>
      <c r="RR83" s="1351"/>
      <c r="RS83" s="1351"/>
      <c r="RT83" s="1351"/>
      <c r="RU83" s="1351"/>
      <c r="RV83" s="1351"/>
      <c r="RW83" s="1351"/>
      <c r="RX83" s="1351"/>
      <c r="RY83" s="1351"/>
      <c r="RZ83" s="1351"/>
      <c r="SA83" s="1351"/>
      <c r="SB83" s="1351"/>
      <c r="SC83" s="1351"/>
      <c r="SD83" s="1351"/>
      <c r="SE83" s="1351"/>
      <c r="SF83" s="1351"/>
      <c r="SG83" s="1351"/>
      <c r="SH83" s="1351"/>
      <c r="SI83" s="1351"/>
      <c r="SJ83" s="1351"/>
      <c r="SK83" s="1351"/>
      <c r="SL83" s="1351"/>
      <c r="SM83" s="1351"/>
      <c r="SN83" s="1351"/>
      <c r="SO83" s="1351"/>
      <c r="SP83" s="1351"/>
      <c r="SQ83" s="1351"/>
      <c r="SR83" s="1351"/>
      <c r="SS83" s="1351"/>
      <c r="ST83" s="1351"/>
      <c r="SU83" s="1351"/>
      <c r="SV83" s="1351"/>
      <c r="SW83" s="1351"/>
      <c r="SX83" s="1351"/>
      <c r="SY83" s="1351"/>
      <c r="SZ83" s="1351"/>
      <c r="TA83" s="1351"/>
      <c r="TB83" s="1351"/>
      <c r="TC83" s="1351"/>
      <c r="TD83" s="1351"/>
      <c r="TE83" s="1351"/>
      <c r="TF83" s="1351"/>
      <c r="TG83" s="1351"/>
      <c r="TH83" s="1351"/>
      <c r="TI83" s="1351"/>
      <c r="TJ83" s="1351"/>
      <c r="TK83" s="1351"/>
      <c r="TL83" s="1351"/>
      <c r="TM83" s="1351"/>
      <c r="TN83" s="1351"/>
      <c r="TO83" s="1351"/>
      <c r="TP83" s="1351"/>
      <c r="TQ83" s="1351"/>
      <c r="TR83" s="1351"/>
      <c r="TS83" s="1351"/>
      <c r="TT83" s="1351"/>
      <c r="TU83" s="1351"/>
      <c r="TV83" s="1351"/>
      <c r="TW83" s="1351"/>
      <c r="TX83" s="1351"/>
      <c r="TY83" s="1351"/>
      <c r="TZ83" s="1351"/>
      <c r="UA83" s="1351"/>
      <c r="UB83" s="1351"/>
      <c r="UC83" s="1351"/>
      <c r="UD83" s="1351"/>
      <c r="UE83" s="1351"/>
      <c r="UF83" s="1351"/>
      <c r="UG83" s="1351"/>
      <c r="UH83" s="1351"/>
      <c r="UI83" s="1351"/>
      <c r="UJ83" s="1351"/>
      <c r="UK83" s="1351"/>
      <c r="UL83" s="1351"/>
      <c r="UM83" s="1351"/>
      <c r="UN83" s="1351"/>
      <c r="UO83" s="1351"/>
      <c r="UP83" s="1351"/>
      <c r="UQ83" s="1351"/>
      <c r="UR83" s="1351"/>
      <c r="US83" s="1351"/>
      <c r="UT83" s="1351"/>
      <c r="UU83" s="1351"/>
      <c r="UV83" s="1351"/>
      <c r="UW83" s="1351"/>
      <c r="UX83" s="1351"/>
      <c r="UY83" s="1351"/>
      <c r="UZ83" s="1351"/>
      <c r="VA83" s="1351"/>
      <c r="VB83" s="1351"/>
      <c r="VC83" s="1351"/>
      <c r="VD83" s="1351"/>
      <c r="VE83" s="1351"/>
      <c r="VF83" s="1351"/>
      <c r="VG83" s="1351"/>
      <c r="VH83" s="1351"/>
      <c r="VI83" s="1351"/>
      <c r="VJ83" s="1351"/>
      <c r="VK83" s="1351"/>
      <c r="VL83" s="1351"/>
      <c r="VM83" s="1351"/>
      <c r="VN83" s="1351"/>
      <c r="VO83" s="1351"/>
      <c r="VP83" s="1351"/>
      <c r="VQ83" s="1351"/>
      <c r="VR83" s="1351"/>
      <c r="VS83" s="1351"/>
      <c r="VT83" s="1351"/>
      <c r="VU83" s="1351"/>
      <c r="VV83" s="1351"/>
      <c r="VW83" s="1351"/>
      <c r="VX83" s="1351"/>
      <c r="VY83" s="1351"/>
      <c r="VZ83" s="1351"/>
      <c r="WA83" s="1351"/>
      <c r="WB83" s="1351"/>
      <c r="WC83" s="1351"/>
      <c r="WD83" s="1351"/>
      <c r="WE83" s="1351"/>
      <c r="WF83" s="1351"/>
      <c r="WG83" s="1351"/>
      <c r="WH83" s="1351"/>
      <c r="WI83" s="1351"/>
      <c r="WJ83" s="1351"/>
      <c r="WK83" s="1351"/>
      <c r="WL83" s="1351"/>
      <c r="WM83" s="1351"/>
      <c r="WN83" s="1351"/>
      <c r="WO83" s="1351"/>
      <c r="WP83" s="1351"/>
      <c r="WQ83" s="1351"/>
      <c r="WR83" s="1351"/>
      <c r="WS83" s="1351"/>
      <c r="WT83" s="1351"/>
      <c r="WU83" s="1351"/>
      <c r="WV83" s="1351"/>
      <c r="WW83" s="1351"/>
      <c r="WX83" s="1351"/>
      <c r="WY83" s="1351"/>
      <c r="WZ83" s="1351"/>
      <c r="XA83" s="1351"/>
      <c r="XB83" s="1351"/>
      <c r="XC83" s="1351"/>
      <c r="XD83" s="1351"/>
      <c r="XE83" s="1351"/>
      <c r="XF83" s="1351"/>
      <c r="XG83" s="1351"/>
      <c r="XH83" s="1351"/>
      <c r="XI83" s="1351"/>
      <c r="XJ83" s="1351"/>
      <c r="XK83" s="1351"/>
      <c r="XL83" s="1351"/>
      <c r="XM83" s="1351"/>
      <c r="XN83" s="1351"/>
      <c r="XO83" s="1351"/>
      <c r="XP83" s="1351"/>
      <c r="XQ83" s="1351"/>
      <c r="XR83" s="1351"/>
      <c r="XS83" s="1351"/>
      <c r="XT83" s="1351"/>
      <c r="XU83" s="1351"/>
      <c r="XV83" s="1351"/>
      <c r="XW83" s="1351"/>
      <c r="XX83" s="1351"/>
      <c r="XY83" s="1351"/>
      <c r="XZ83" s="1351"/>
      <c r="YA83" s="1351"/>
      <c r="YB83" s="1351"/>
      <c r="YC83" s="1351"/>
      <c r="YD83" s="1351"/>
      <c r="YE83" s="1351"/>
      <c r="YF83" s="1351"/>
      <c r="YG83" s="1351"/>
      <c r="YH83" s="1351"/>
      <c r="YI83" s="1351"/>
      <c r="YJ83" s="1351"/>
      <c r="YK83" s="1351"/>
      <c r="YL83" s="1351"/>
      <c r="YM83" s="1351"/>
      <c r="YN83" s="1351"/>
      <c r="YO83" s="1351"/>
      <c r="YP83" s="1351"/>
      <c r="YQ83" s="1351"/>
      <c r="YR83" s="1351"/>
      <c r="YS83" s="1351"/>
      <c r="YT83" s="1351"/>
      <c r="YU83" s="1351"/>
      <c r="YV83" s="1351"/>
      <c r="YW83" s="1351"/>
      <c r="YX83" s="1351"/>
      <c r="YY83" s="1351"/>
      <c r="YZ83" s="1351"/>
      <c r="ZA83" s="1351"/>
      <c r="ZB83" s="1351"/>
      <c r="ZC83" s="1351"/>
      <c r="ZD83" s="1351"/>
      <c r="ZE83" s="1351"/>
      <c r="ZF83" s="1351"/>
      <c r="ZG83" s="1351"/>
      <c r="ZH83" s="1351"/>
      <c r="ZI83" s="1351"/>
      <c r="ZJ83" s="1351"/>
      <c r="ZK83" s="1351"/>
      <c r="ZL83" s="1351"/>
      <c r="ZM83" s="1351"/>
      <c r="ZN83" s="1351"/>
      <c r="ZO83" s="1351"/>
      <c r="ZP83" s="1351"/>
      <c r="ZQ83" s="1351"/>
      <c r="ZR83" s="1351"/>
      <c r="ZS83" s="1351"/>
      <c r="ZT83" s="1351"/>
      <c r="ZU83" s="1351"/>
      <c r="ZV83" s="1351"/>
      <c r="ZW83" s="1351"/>
      <c r="ZX83" s="1351"/>
      <c r="ZY83" s="1351"/>
      <c r="ZZ83" s="1351"/>
      <c r="AAA83" s="1351"/>
      <c r="AAB83" s="1351"/>
      <c r="AAC83" s="1351"/>
      <c r="AAD83" s="1351"/>
      <c r="AAE83" s="1351"/>
      <c r="AAF83" s="1351"/>
      <c r="AAG83" s="1351"/>
      <c r="AAH83" s="1351"/>
      <c r="AAI83" s="1351"/>
      <c r="AAJ83" s="1351"/>
      <c r="AAK83" s="1351"/>
      <c r="AAL83" s="1351"/>
      <c r="AAM83" s="1351"/>
      <c r="AAN83" s="1351"/>
      <c r="AAO83" s="1351"/>
      <c r="AAP83" s="1351"/>
      <c r="AAQ83" s="1351"/>
      <c r="AAR83" s="1351"/>
      <c r="AAS83" s="1351"/>
      <c r="AAT83" s="1351"/>
      <c r="AAU83" s="1351"/>
      <c r="AAV83" s="1351"/>
      <c r="AAW83" s="1351"/>
      <c r="AAX83" s="1351"/>
      <c r="AAY83" s="1351"/>
      <c r="AAZ83" s="1351"/>
      <c r="ABA83" s="1351"/>
      <c r="ABB83" s="1351"/>
      <c r="ABC83" s="1351"/>
      <c r="ABD83" s="1351"/>
      <c r="ABE83" s="1351"/>
      <c r="ABF83" s="1351"/>
      <c r="ABG83" s="1351"/>
      <c r="ABH83" s="1351"/>
      <c r="ABI83" s="1351"/>
      <c r="ABJ83" s="1351"/>
      <c r="ABK83" s="1351"/>
      <c r="ABL83" s="1351"/>
      <c r="ABM83" s="1351"/>
      <c r="ABN83" s="1351"/>
      <c r="ABO83" s="1351"/>
      <c r="ABP83" s="1351"/>
      <c r="ABQ83" s="1351"/>
      <c r="ABR83" s="1351"/>
      <c r="ABS83" s="1351"/>
      <c r="ABT83" s="1351"/>
      <c r="ABU83" s="1351"/>
      <c r="ABV83" s="1351"/>
      <c r="ABW83" s="1351"/>
      <c r="ABX83" s="1351"/>
      <c r="ABY83" s="1351"/>
      <c r="ABZ83" s="1351"/>
      <c r="ACA83" s="1351"/>
      <c r="ACB83" s="1351"/>
      <c r="ACC83" s="1351"/>
      <c r="ACD83" s="1351"/>
      <c r="ACE83" s="1351"/>
      <c r="ACF83" s="1351"/>
      <c r="ACG83" s="1351"/>
      <c r="ACH83" s="1351"/>
      <c r="ACI83" s="1351"/>
      <c r="ACJ83" s="1351"/>
      <c r="ACK83" s="1351"/>
      <c r="ACL83" s="1351"/>
      <c r="ACM83" s="1351"/>
      <c r="ACN83" s="1351"/>
      <c r="ACO83" s="1351"/>
      <c r="ACP83" s="1351"/>
      <c r="ACQ83" s="1351"/>
      <c r="ACR83" s="1351"/>
      <c r="ACS83" s="1351"/>
      <c r="ACT83" s="1351"/>
      <c r="ACU83" s="1351"/>
      <c r="ACV83" s="1351"/>
      <c r="ACW83" s="1351"/>
      <c r="ACX83" s="1351"/>
      <c r="ACY83" s="1351"/>
      <c r="ACZ83" s="1351"/>
      <c r="ADA83" s="1351"/>
      <c r="ADB83" s="1351"/>
      <c r="ADC83" s="1351"/>
      <c r="ADD83" s="1351"/>
      <c r="ADE83" s="1351"/>
      <c r="ADF83" s="1351"/>
      <c r="ADG83" s="1351"/>
      <c r="ADH83" s="1351"/>
      <c r="ADI83" s="1351"/>
      <c r="ADJ83" s="1351"/>
      <c r="ADK83" s="1351"/>
      <c r="ADL83" s="1351"/>
      <c r="ADM83" s="1351"/>
      <c r="ADN83" s="1351"/>
      <c r="ADO83" s="1351"/>
      <c r="ADP83" s="1351"/>
      <c r="ADQ83" s="1351"/>
      <c r="ADR83" s="1351"/>
      <c r="ADS83" s="1351"/>
      <c r="ADT83" s="1351"/>
      <c r="ADU83" s="1351"/>
      <c r="ADV83" s="1351"/>
      <c r="ADW83" s="1351"/>
      <c r="ADX83" s="1351"/>
      <c r="ADY83" s="1351"/>
      <c r="ADZ83" s="1351"/>
      <c r="AEA83" s="1351"/>
      <c r="AEB83" s="1351"/>
      <c r="AEC83" s="1351"/>
      <c r="AED83" s="1351"/>
      <c r="AEE83" s="1351"/>
      <c r="AEF83" s="1351"/>
      <c r="AEG83" s="1351"/>
      <c r="AEH83" s="1351"/>
      <c r="AEI83" s="1351"/>
      <c r="AEJ83" s="1351"/>
      <c r="AEK83" s="1351"/>
      <c r="AEL83" s="1351"/>
      <c r="AEM83" s="1351"/>
      <c r="AEN83" s="1351"/>
      <c r="AEO83" s="1351"/>
      <c r="AEP83" s="1351"/>
      <c r="AEQ83" s="1351"/>
      <c r="AER83" s="1351"/>
      <c r="AES83" s="1351"/>
      <c r="AET83" s="1351"/>
      <c r="AEU83" s="1351"/>
      <c r="AEV83" s="1351"/>
      <c r="AEW83" s="1351"/>
      <c r="AEX83" s="1351"/>
      <c r="AEY83" s="1351"/>
      <c r="AEZ83" s="1351"/>
      <c r="AFA83" s="1351"/>
      <c r="AFB83" s="1351"/>
      <c r="AFC83" s="1351"/>
      <c r="AFD83" s="1351"/>
      <c r="AFE83" s="1351"/>
      <c r="AFF83" s="1351"/>
      <c r="AFG83" s="1351"/>
      <c r="AFH83" s="1351"/>
      <c r="AFI83" s="1351"/>
      <c r="AFJ83" s="1351"/>
      <c r="AFK83" s="1351"/>
      <c r="AFL83" s="1351"/>
      <c r="AFM83" s="1351"/>
      <c r="AFN83" s="1351"/>
      <c r="AFO83" s="1351"/>
      <c r="AFP83" s="1351"/>
      <c r="AFQ83" s="1351"/>
      <c r="AFR83" s="1351"/>
      <c r="AFS83" s="1351"/>
      <c r="AFT83" s="1351"/>
      <c r="AFU83" s="1351"/>
      <c r="AFV83" s="1351"/>
      <c r="AFW83" s="1351"/>
      <c r="AFX83" s="1351"/>
      <c r="AFY83" s="1351"/>
      <c r="AFZ83" s="1351"/>
      <c r="AGA83" s="1351"/>
      <c r="AGB83" s="1351"/>
      <c r="AGC83" s="1351"/>
      <c r="AGD83" s="1351"/>
      <c r="AGE83" s="1351"/>
      <c r="AGF83" s="1351"/>
      <c r="AGG83" s="1351"/>
      <c r="AGH83" s="1351"/>
      <c r="AGI83" s="1351"/>
      <c r="AGJ83" s="1351"/>
      <c r="AGK83" s="1351"/>
      <c r="AGL83" s="1351"/>
      <c r="AGM83" s="1351"/>
      <c r="AGN83" s="1351"/>
      <c r="AGO83" s="1351"/>
      <c r="AGP83" s="1351"/>
      <c r="AGQ83" s="1351"/>
      <c r="AGR83" s="1351"/>
      <c r="AGS83" s="1351"/>
      <c r="AGT83" s="1351"/>
      <c r="AGU83" s="1351"/>
      <c r="AGV83" s="1351"/>
      <c r="AGW83" s="1351"/>
      <c r="AGX83" s="1351"/>
      <c r="AGY83" s="1351"/>
      <c r="AGZ83" s="1351"/>
      <c r="AHA83" s="1351"/>
      <c r="AHB83" s="1351"/>
      <c r="AHC83" s="1351"/>
      <c r="AHD83" s="1351"/>
      <c r="AHE83" s="1351"/>
      <c r="AHF83" s="1351"/>
      <c r="AHG83" s="1351"/>
      <c r="AHH83" s="1351"/>
      <c r="AHI83" s="1351"/>
      <c r="AHJ83" s="1351"/>
      <c r="AHK83" s="1351"/>
      <c r="AHL83" s="1351"/>
      <c r="AHM83" s="1351"/>
      <c r="AHN83" s="1351"/>
      <c r="AHO83" s="1351"/>
      <c r="AHP83" s="1351"/>
      <c r="AHQ83" s="1351"/>
      <c r="AHR83" s="1351"/>
      <c r="AHS83" s="1351"/>
      <c r="AHT83" s="1351"/>
      <c r="AHU83" s="1351"/>
      <c r="AHV83" s="1351"/>
      <c r="AHW83" s="1351"/>
      <c r="AHX83" s="1351"/>
      <c r="AHY83" s="1351"/>
      <c r="AHZ83" s="1351"/>
      <c r="AIA83" s="1351"/>
      <c r="AIB83" s="1351"/>
      <c r="AIC83" s="1351"/>
      <c r="AID83" s="1351"/>
      <c r="AIE83" s="1351"/>
      <c r="AIF83" s="1351"/>
      <c r="AIG83" s="1351"/>
      <c r="AIH83" s="1351"/>
      <c r="AII83" s="1351"/>
      <c r="AIJ83" s="1351"/>
      <c r="AIK83" s="1351"/>
      <c r="AIL83" s="1351"/>
      <c r="AIM83" s="1351"/>
      <c r="AIN83" s="1351"/>
      <c r="AIO83" s="1351"/>
      <c r="AIP83" s="1351"/>
      <c r="AIQ83" s="1351"/>
      <c r="AIR83" s="1351"/>
      <c r="AIS83" s="1351"/>
      <c r="AIT83" s="1351"/>
      <c r="AIU83" s="1351"/>
      <c r="AIV83" s="1351"/>
      <c r="AIW83" s="1351"/>
      <c r="AIX83" s="1351"/>
      <c r="AIY83" s="1351"/>
      <c r="AIZ83" s="1351"/>
      <c r="AJA83" s="1351"/>
      <c r="AJB83" s="1351"/>
      <c r="AJC83" s="1351"/>
      <c r="AJD83" s="1351"/>
      <c r="AJE83" s="1351"/>
      <c r="AJF83" s="1351"/>
      <c r="AJG83" s="1351"/>
      <c r="AJH83" s="1351"/>
      <c r="AJI83" s="1351"/>
      <c r="AJJ83" s="1351"/>
      <c r="AJK83" s="1351"/>
      <c r="AJL83" s="1351"/>
      <c r="AJM83" s="1351"/>
      <c r="AJN83" s="1351"/>
      <c r="AJO83" s="1351"/>
      <c r="AJP83" s="1351"/>
      <c r="AJQ83" s="1351"/>
      <c r="AJR83" s="1351"/>
      <c r="AJS83" s="1351"/>
      <c r="AJT83" s="1351"/>
      <c r="AJU83" s="1351"/>
      <c r="AJV83" s="1351"/>
      <c r="AJW83" s="1351"/>
      <c r="AJX83" s="1351"/>
      <c r="AJY83" s="1351"/>
      <c r="AJZ83" s="1351"/>
      <c r="AKA83" s="1351"/>
      <c r="AKB83" s="1351"/>
      <c r="AKC83" s="1351"/>
      <c r="AKD83" s="1351"/>
      <c r="AKE83" s="1351"/>
      <c r="AKF83" s="1351"/>
      <c r="AKG83" s="1351"/>
      <c r="AKH83" s="1351"/>
      <c r="AKI83" s="1351"/>
      <c r="AKJ83" s="1351"/>
      <c r="AKK83" s="1351"/>
      <c r="AKL83" s="1351"/>
      <c r="AKM83" s="1351"/>
      <c r="AKN83" s="1351"/>
      <c r="AKO83" s="1351"/>
      <c r="AKP83" s="1351"/>
      <c r="AKQ83" s="1351"/>
      <c r="AKR83" s="1351"/>
      <c r="AKS83" s="1351"/>
      <c r="AKT83" s="1351"/>
      <c r="AKU83" s="1351"/>
      <c r="AKV83" s="1351"/>
      <c r="AKW83" s="1351"/>
      <c r="AKX83" s="1351"/>
      <c r="AKY83" s="1351"/>
      <c r="AKZ83" s="1351"/>
      <c r="ALA83" s="1351"/>
      <c r="ALB83" s="1351"/>
      <c r="ALC83" s="1351"/>
      <c r="ALD83" s="1351"/>
      <c r="ALE83" s="1351"/>
      <c r="ALF83" s="1351"/>
      <c r="ALG83" s="1351"/>
      <c r="ALH83" s="1351"/>
      <c r="ALI83" s="1351"/>
      <c r="ALJ83" s="1351"/>
      <c r="ALK83" s="1351"/>
      <c r="ALL83" s="1351"/>
      <c r="ALM83" s="1351"/>
      <c r="ALN83" s="1351"/>
      <c r="ALO83" s="1351"/>
      <c r="ALP83" s="1351"/>
      <c r="ALQ83" s="1351"/>
      <c r="ALR83" s="1351"/>
      <c r="ALS83" s="1351"/>
      <c r="ALT83" s="1351"/>
      <c r="ALU83" s="1351"/>
      <c r="ALV83" s="1351"/>
      <c r="ALW83" s="1351"/>
      <c r="ALX83" s="1351"/>
      <c r="ALY83" s="1351"/>
      <c r="ALZ83" s="1351"/>
      <c r="AMA83" s="1351"/>
      <c r="AMB83" s="1351"/>
      <c r="AMC83" s="1351"/>
      <c r="AMD83" s="1351"/>
      <c r="AME83" s="1351"/>
      <c r="AMF83" s="1351"/>
      <c r="AMG83" s="1351"/>
      <c r="AMH83" s="1351"/>
      <c r="AMI83" s="1351"/>
      <c r="AMJ83" s="1351"/>
      <c r="AMK83" s="1351"/>
    </row>
    <row r="84" spans="1:1025" s="1352" customFormat="1">
      <c r="A84" s="1353" t="s">
        <v>53</v>
      </c>
      <c r="B84" s="1351" t="s">
        <v>2089</v>
      </c>
      <c r="C84" s="1354">
        <v>800000</v>
      </c>
      <c r="D84" s="1355">
        <v>800000</v>
      </c>
      <c r="E84" s="1356">
        <v>9501000</v>
      </c>
      <c r="F84" s="1357">
        <f>E84/D84</f>
        <v>11.876250000000001</v>
      </c>
      <c r="G84" s="1351"/>
      <c r="H84" s="1351"/>
      <c r="I84" s="1351"/>
      <c r="J84" s="1351"/>
      <c r="L84" s="1351"/>
      <c r="M84" s="1351"/>
      <c r="N84" s="1351"/>
      <c r="O84" s="1351"/>
      <c r="P84" s="1351"/>
      <c r="Q84" s="1351"/>
      <c r="R84" s="1351"/>
      <c r="S84" s="1351"/>
      <c r="T84" s="1351"/>
      <c r="U84" s="1351"/>
      <c r="V84" s="1351"/>
      <c r="W84" s="1351"/>
      <c r="X84" s="1351"/>
      <c r="Y84" s="1351"/>
      <c r="Z84" s="1351"/>
      <c r="AA84" s="1351"/>
      <c r="AB84" s="1351"/>
      <c r="AC84" s="1351"/>
      <c r="AD84" s="1351"/>
      <c r="AE84" s="1351"/>
      <c r="AF84" s="1351"/>
      <c r="AG84" s="1351"/>
      <c r="AH84" s="1351"/>
      <c r="AI84" s="1351"/>
      <c r="AJ84" s="1351"/>
      <c r="AK84" s="1351"/>
      <c r="AL84" s="1351"/>
      <c r="AM84" s="1351"/>
      <c r="AN84" s="1351"/>
      <c r="AO84" s="1351"/>
      <c r="AP84" s="1351"/>
      <c r="AQ84" s="1351"/>
      <c r="AR84" s="1351"/>
      <c r="AS84" s="1351"/>
      <c r="AT84" s="1351"/>
      <c r="AU84" s="1351"/>
      <c r="AV84" s="1351"/>
      <c r="AW84" s="1351"/>
      <c r="AX84" s="1351"/>
      <c r="AY84" s="1351"/>
      <c r="AZ84" s="1351"/>
      <c r="BA84" s="1351"/>
      <c r="BB84" s="1351"/>
      <c r="BC84" s="1351"/>
      <c r="BD84" s="1351"/>
      <c r="BE84" s="1351"/>
      <c r="BF84" s="1351"/>
      <c r="BG84" s="1351"/>
      <c r="BH84" s="1351"/>
      <c r="BI84" s="1351"/>
      <c r="BJ84" s="1351"/>
      <c r="BK84" s="1351"/>
      <c r="BL84" s="1351"/>
      <c r="BM84" s="1351"/>
      <c r="BN84" s="1351"/>
      <c r="BO84" s="1351"/>
      <c r="BP84" s="1351"/>
      <c r="BQ84" s="1351"/>
      <c r="BR84" s="1351"/>
      <c r="BS84" s="1351"/>
      <c r="BT84" s="1351"/>
      <c r="BU84" s="1351"/>
      <c r="BV84" s="1351"/>
      <c r="BW84" s="1351"/>
      <c r="BX84" s="1351"/>
      <c r="BY84" s="1351"/>
      <c r="BZ84" s="1351"/>
      <c r="CA84" s="1351"/>
      <c r="CB84" s="1351"/>
      <c r="CC84" s="1351"/>
      <c r="CD84" s="1351"/>
      <c r="CE84" s="1351"/>
      <c r="CF84" s="1351"/>
      <c r="CG84" s="1351"/>
      <c r="CH84" s="1351"/>
      <c r="CI84" s="1351"/>
      <c r="CJ84" s="1351"/>
      <c r="CK84" s="1351"/>
      <c r="CL84" s="1351"/>
      <c r="CM84" s="1351"/>
      <c r="CN84" s="1351"/>
      <c r="CO84" s="1351"/>
      <c r="CP84" s="1351"/>
      <c r="CQ84" s="1351"/>
      <c r="CR84" s="1351"/>
      <c r="CS84" s="1351"/>
      <c r="CT84" s="1351"/>
      <c r="CU84" s="1351"/>
      <c r="CV84" s="1351"/>
      <c r="CW84" s="1351"/>
      <c r="CX84" s="1351"/>
      <c r="CY84" s="1351"/>
      <c r="CZ84" s="1351"/>
      <c r="DA84" s="1351"/>
      <c r="DB84" s="1351"/>
      <c r="DC84" s="1351"/>
      <c r="DD84" s="1351"/>
      <c r="DE84" s="1351"/>
      <c r="DF84" s="1351"/>
      <c r="DG84" s="1351"/>
      <c r="DH84" s="1351"/>
      <c r="DI84" s="1351"/>
      <c r="DJ84" s="1351"/>
      <c r="DK84" s="1351"/>
      <c r="DL84" s="1351"/>
      <c r="DM84" s="1351"/>
      <c r="DN84" s="1351"/>
      <c r="DO84" s="1351"/>
      <c r="DP84" s="1351"/>
      <c r="DQ84" s="1351"/>
      <c r="DR84" s="1351"/>
      <c r="DS84" s="1351"/>
      <c r="DT84" s="1351"/>
      <c r="DU84" s="1351"/>
      <c r="DV84" s="1351"/>
      <c r="DW84" s="1351"/>
      <c r="DX84" s="1351"/>
      <c r="DY84" s="1351"/>
      <c r="DZ84" s="1351"/>
      <c r="EA84" s="1351"/>
      <c r="EB84" s="1351"/>
      <c r="EC84" s="1351"/>
      <c r="ED84" s="1351"/>
      <c r="EE84" s="1351"/>
      <c r="EF84" s="1351"/>
      <c r="EG84" s="1351"/>
      <c r="EH84" s="1351"/>
      <c r="EI84" s="1351"/>
      <c r="EJ84" s="1351"/>
      <c r="EK84" s="1351"/>
      <c r="EL84" s="1351"/>
      <c r="EM84" s="1351"/>
      <c r="EN84" s="1351"/>
      <c r="EO84" s="1351"/>
      <c r="EP84" s="1351"/>
      <c r="EQ84" s="1351"/>
      <c r="ER84" s="1351"/>
      <c r="ES84" s="1351"/>
      <c r="ET84" s="1351"/>
      <c r="EU84" s="1351"/>
      <c r="EV84" s="1351"/>
      <c r="EW84" s="1351"/>
      <c r="EX84" s="1351"/>
      <c r="EY84" s="1351"/>
      <c r="EZ84" s="1351"/>
      <c r="FA84" s="1351"/>
      <c r="FB84" s="1351"/>
      <c r="FC84" s="1351"/>
      <c r="FD84" s="1351"/>
      <c r="FE84" s="1351"/>
      <c r="FF84" s="1351"/>
      <c r="FG84" s="1351"/>
      <c r="FH84" s="1351"/>
      <c r="FI84" s="1351"/>
      <c r="FJ84" s="1351"/>
      <c r="FK84" s="1351"/>
      <c r="FL84" s="1351"/>
      <c r="FM84" s="1351"/>
      <c r="FN84" s="1351"/>
      <c r="FO84" s="1351"/>
      <c r="FP84" s="1351"/>
      <c r="FQ84" s="1351"/>
      <c r="FR84" s="1351"/>
      <c r="FS84" s="1351"/>
      <c r="FT84" s="1351"/>
      <c r="FU84" s="1351"/>
      <c r="FV84" s="1351"/>
      <c r="FW84" s="1351"/>
      <c r="FX84" s="1351"/>
      <c r="FY84" s="1351"/>
      <c r="FZ84" s="1351"/>
      <c r="GA84" s="1351"/>
      <c r="GB84" s="1351"/>
      <c r="GC84" s="1351"/>
      <c r="GD84" s="1351"/>
      <c r="GE84" s="1351"/>
      <c r="GF84" s="1351"/>
      <c r="GG84" s="1351"/>
      <c r="GH84" s="1351"/>
      <c r="GI84" s="1351"/>
      <c r="GJ84" s="1351"/>
      <c r="GK84" s="1351"/>
      <c r="GL84" s="1351"/>
      <c r="GM84" s="1351"/>
      <c r="GN84" s="1351"/>
      <c r="GO84" s="1351"/>
      <c r="GP84" s="1351"/>
      <c r="GQ84" s="1351"/>
      <c r="GR84" s="1351"/>
      <c r="GS84" s="1351"/>
      <c r="GT84" s="1351"/>
      <c r="GU84" s="1351"/>
      <c r="GV84" s="1351"/>
      <c r="GW84" s="1351"/>
      <c r="GX84" s="1351"/>
      <c r="GY84" s="1351"/>
      <c r="GZ84" s="1351"/>
      <c r="HA84" s="1351"/>
      <c r="HB84" s="1351"/>
      <c r="HC84" s="1351"/>
      <c r="HD84" s="1351"/>
      <c r="HE84" s="1351"/>
      <c r="HF84" s="1351"/>
      <c r="HG84" s="1351"/>
      <c r="HH84" s="1351"/>
      <c r="HI84" s="1351"/>
      <c r="HJ84" s="1351"/>
      <c r="HK84" s="1351"/>
      <c r="HL84" s="1351"/>
      <c r="HM84" s="1351"/>
      <c r="HN84" s="1351"/>
      <c r="HO84" s="1351"/>
      <c r="HP84" s="1351"/>
      <c r="HQ84" s="1351"/>
      <c r="HR84" s="1351"/>
      <c r="HS84" s="1351"/>
      <c r="HT84" s="1351"/>
      <c r="HU84" s="1351"/>
      <c r="HV84" s="1351"/>
      <c r="HW84" s="1351"/>
      <c r="HX84" s="1351"/>
      <c r="HY84" s="1351"/>
      <c r="HZ84" s="1351"/>
      <c r="IA84" s="1351"/>
      <c r="IB84" s="1351"/>
      <c r="IC84" s="1351"/>
      <c r="ID84" s="1351"/>
      <c r="IE84" s="1351"/>
      <c r="IF84" s="1351"/>
      <c r="IG84" s="1351"/>
      <c r="IH84" s="1351"/>
      <c r="II84" s="1351"/>
      <c r="IJ84" s="1351"/>
      <c r="IK84" s="1351"/>
      <c r="IL84" s="1351"/>
      <c r="IM84" s="1351"/>
      <c r="IN84" s="1351"/>
      <c r="IO84" s="1351"/>
      <c r="IP84" s="1351"/>
      <c r="IQ84" s="1351"/>
      <c r="IR84" s="1351"/>
      <c r="IS84" s="1351"/>
      <c r="IT84" s="1351"/>
      <c r="IU84" s="1351"/>
      <c r="IV84" s="1351"/>
      <c r="IW84" s="1351"/>
      <c r="IX84" s="1351"/>
      <c r="IY84" s="1351"/>
      <c r="IZ84" s="1351"/>
      <c r="JA84" s="1351"/>
      <c r="JB84" s="1351"/>
      <c r="JC84" s="1351"/>
      <c r="JD84" s="1351"/>
      <c r="JE84" s="1351"/>
      <c r="JF84" s="1351"/>
      <c r="JG84" s="1351"/>
      <c r="JH84" s="1351"/>
      <c r="JI84" s="1351"/>
      <c r="JJ84" s="1351"/>
      <c r="JK84" s="1351"/>
      <c r="JL84" s="1351"/>
      <c r="JM84" s="1351"/>
      <c r="JN84" s="1351"/>
      <c r="JO84" s="1351"/>
      <c r="JP84" s="1351"/>
      <c r="JQ84" s="1351"/>
      <c r="JR84" s="1351"/>
      <c r="JS84" s="1351"/>
      <c r="JT84" s="1351"/>
      <c r="JU84" s="1351"/>
      <c r="JV84" s="1351"/>
      <c r="JW84" s="1351"/>
      <c r="JX84" s="1351"/>
      <c r="JY84" s="1351"/>
      <c r="JZ84" s="1351"/>
      <c r="KA84" s="1351"/>
      <c r="KB84" s="1351"/>
      <c r="KC84" s="1351"/>
      <c r="KD84" s="1351"/>
      <c r="KE84" s="1351"/>
      <c r="KF84" s="1351"/>
      <c r="KG84" s="1351"/>
      <c r="KH84" s="1351"/>
      <c r="KI84" s="1351"/>
      <c r="KJ84" s="1351"/>
      <c r="KK84" s="1351"/>
      <c r="KL84" s="1351"/>
      <c r="KM84" s="1351"/>
      <c r="KN84" s="1351"/>
      <c r="KO84" s="1351"/>
      <c r="KP84" s="1351"/>
      <c r="KQ84" s="1351"/>
      <c r="KR84" s="1351"/>
      <c r="KS84" s="1351"/>
      <c r="KT84" s="1351"/>
      <c r="KU84" s="1351"/>
      <c r="KV84" s="1351"/>
      <c r="KW84" s="1351"/>
      <c r="KX84" s="1351"/>
      <c r="KY84" s="1351"/>
      <c r="KZ84" s="1351"/>
      <c r="LA84" s="1351"/>
      <c r="LB84" s="1351"/>
      <c r="LC84" s="1351"/>
      <c r="LD84" s="1351"/>
      <c r="LE84" s="1351"/>
      <c r="LF84" s="1351"/>
      <c r="LG84" s="1351"/>
      <c r="LH84" s="1351"/>
      <c r="LI84" s="1351"/>
      <c r="LJ84" s="1351"/>
      <c r="LK84" s="1351"/>
      <c r="LL84" s="1351"/>
      <c r="LM84" s="1351"/>
      <c r="LN84" s="1351"/>
      <c r="LO84" s="1351"/>
      <c r="LP84" s="1351"/>
      <c r="LQ84" s="1351"/>
      <c r="LR84" s="1351"/>
      <c r="LS84" s="1351"/>
      <c r="LT84" s="1351"/>
      <c r="LU84" s="1351"/>
      <c r="LV84" s="1351"/>
      <c r="LW84" s="1351"/>
      <c r="LX84" s="1351"/>
      <c r="LY84" s="1351"/>
      <c r="LZ84" s="1351"/>
      <c r="MA84" s="1351"/>
      <c r="MB84" s="1351"/>
      <c r="MC84" s="1351"/>
      <c r="MD84" s="1351"/>
      <c r="ME84" s="1351"/>
      <c r="MF84" s="1351"/>
      <c r="MG84" s="1351"/>
      <c r="MH84" s="1351"/>
      <c r="MI84" s="1351"/>
      <c r="MJ84" s="1351"/>
      <c r="MK84" s="1351"/>
      <c r="ML84" s="1351"/>
      <c r="MM84" s="1351"/>
      <c r="MN84" s="1351"/>
      <c r="MO84" s="1351"/>
      <c r="MP84" s="1351"/>
      <c r="MQ84" s="1351"/>
      <c r="MR84" s="1351"/>
      <c r="MS84" s="1351"/>
      <c r="MT84" s="1351"/>
      <c r="MU84" s="1351"/>
      <c r="MV84" s="1351"/>
      <c r="MW84" s="1351"/>
      <c r="MX84" s="1351"/>
      <c r="MY84" s="1351"/>
      <c r="MZ84" s="1351"/>
      <c r="NA84" s="1351"/>
      <c r="NB84" s="1351"/>
      <c r="NC84" s="1351"/>
      <c r="ND84" s="1351"/>
      <c r="NE84" s="1351"/>
      <c r="NF84" s="1351"/>
      <c r="NG84" s="1351"/>
      <c r="NH84" s="1351"/>
      <c r="NI84" s="1351"/>
      <c r="NJ84" s="1351"/>
      <c r="NK84" s="1351"/>
      <c r="NL84" s="1351"/>
      <c r="NM84" s="1351"/>
      <c r="NN84" s="1351"/>
      <c r="NO84" s="1351"/>
      <c r="NP84" s="1351"/>
      <c r="NQ84" s="1351"/>
      <c r="NR84" s="1351"/>
      <c r="NS84" s="1351"/>
      <c r="NT84" s="1351"/>
      <c r="NU84" s="1351"/>
      <c r="NV84" s="1351"/>
      <c r="NW84" s="1351"/>
      <c r="NX84" s="1351"/>
      <c r="NY84" s="1351"/>
      <c r="NZ84" s="1351"/>
      <c r="OA84" s="1351"/>
      <c r="OB84" s="1351"/>
      <c r="OC84" s="1351"/>
      <c r="OD84" s="1351"/>
      <c r="OE84" s="1351"/>
      <c r="OF84" s="1351"/>
      <c r="OG84" s="1351"/>
      <c r="OH84" s="1351"/>
      <c r="OI84" s="1351"/>
      <c r="OJ84" s="1351"/>
      <c r="OK84" s="1351"/>
      <c r="OL84" s="1351"/>
      <c r="OM84" s="1351"/>
      <c r="ON84" s="1351"/>
      <c r="OO84" s="1351"/>
      <c r="OP84" s="1351"/>
      <c r="OQ84" s="1351"/>
      <c r="OR84" s="1351"/>
      <c r="OS84" s="1351"/>
      <c r="OT84" s="1351"/>
      <c r="OU84" s="1351"/>
      <c r="OV84" s="1351"/>
      <c r="OW84" s="1351"/>
      <c r="OX84" s="1351"/>
      <c r="OY84" s="1351"/>
      <c r="OZ84" s="1351"/>
      <c r="PA84" s="1351"/>
      <c r="PB84" s="1351"/>
      <c r="PC84" s="1351"/>
      <c r="PD84" s="1351"/>
      <c r="PE84" s="1351"/>
      <c r="PF84" s="1351"/>
      <c r="PG84" s="1351"/>
      <c r="PH84" s="1351"/>
      <c r="PI84" s="1351"/>
      <c r="PJ84" s="1351"/>
      <c r="PK84" s="1351"/>
      <c r="PL84" s="1351"/>
      <c r="PM84" s="1351"/>
      <c r="PN84" s="1351"/>
      <c r="PO84" s="1351"/>
      <c r="PP84" s="1351"/>
      <c r="PQ84" s="1351"/>
      <c r="PR84" s="1351"/>
      <c r="PS84" s="1351"/>
      <c r="PT84" s="1351"/>
      <c r="PU84" s="1351"/>
      <c r="PV84" s="1351"/>
      <c r="PW84" s="1351"/>
      <c r="PX84" s="1351"/>
      <c r="PY84" s="1351"/>
      <c r="PZ84" s="1351"/>
      <c r="QA84" s="1351"/>
      <c r="QB84" s="1351"/>
      <c r="QC84" s="1351"/>
      <c r="QD84" s="1351"/>
      <c r="QE84" s="1351"/>
      <c r="QF84" s="1351"/>
      <c r="QG84" s="1351"/>
      <c r="QH84" s="1351"/>
      <c r="QI84" s="1351"/>
      <c r="QJ84" s="1351"/>
      <c r="QK84" s="1351"/>
      <c r="QL84" s="1351"/>
      <c r="QM84" s="1351"/>
      <c r="QN84" s="1351"/>
      <c r="QO84" s="1351"/>
      <c r="QP84" s="1351"/>
      <c r="QQ84" s="1351"/>
      <c r="QR84" s="1351"/>
      <c r="QS84" s="1351"/>
      <c r="QT84" s="1351"/>
      <c r="QU84" s="1351"/>
      <c r="QV84" s="1351"/>
      <c r="QW84" s="1351"/>
      <c r="QX84" s="1351"/>
      <c r="QY84" s="1351"/>
      <c r="QZ84" s="1351"/>
      <c r="RA84" s="1351"/>
      <c r="RB84" s="1351"/>
      <c r="RC84" s="1351"/>
      <c r="RD84" s="1351"/>
      <c r="RE84" s="1351"/>
      <c r="RF84" s="1351"/>
      <c r="RG84" s="1351"/>
      <c r="RH84" s="1351"/>
      <c r="RI84" s="1351"/>
      <c r="RJ84" s="1351"/>
      <c r="RK84" s="1351"/>
      <c r="RL84" s="1351"/>
      <c r="RM84" s="1351"/>
      <c r="RN84" s="1351"/>
      <c r="RO84" s="1351"/>
      <c r="RP84" s="1351"/>
      <c r="RQ84" s="1351"/>
      <c r="RR84" s="1351"/>
      <c r="RS84" s="1351"/>
      <c r="RT84" s="1351"/>
      <c r="RU84" s="1351"/>
      <c r="RV84" s="1351"/>
      <c r="RW84" s="1351"/>
      <c r="RX84" s="1351"/>
      <c r="RY84" s="1351"/>
      <c r="RZ84" s="1351"/>
      <c r="SA84" s="1351"/>
      <c r="SB84" s="1351"/>
      <c r="SC84" s="1351"/>
      <c r="SD84" s="1351"/>
      <c r="SE84" s="1351"/>
      <c r="SF84" s="1351"/>
      <c r="SG84" s="1351"/>
      <c r="SH84" s="1351"/>
      <c r="SI84" s="1351"/>
      <c r="SJ84" s="1351"/>
      <c r="SK84" s="1351"/>
      <c r="SL84" s="1351"/>
      <c r="SM84" s="1351"/>
      <c r="SN84" s="1351"/>
      <c r="SO84" s="1351"/>
      <c r="SP84" s="1351"/>
      <c r="SQ84" s="1351"/>
      <c r="SR84" s="1351"/>
      <c r="SS84" s="1351"/>
      <c r="ST84" s="1351"/>
      <c r="SU84" s="1351"/>
      <c r="SV84" s="1351"/>
      <c r="SW84" s="1351"/>
      <c r="SX84" s="1351"/>
      <c r="SY84" s="1351"/>
      <c r="SZ84" s="1351"/>
      <c r="TA84" s="1351"/>
      <c r="TB84" s="1351"/>
      <c r="TC84" s="1351"/>
      <c r="TD84" s="1351"/>
      <c r="TE84" s="1351"/>
      <c r="TF84" s="1351"/>
      <c r="TG84" s="1351"/>
      <c r="TH84" s="1351"/>
      <c r="TI84" s="1351"/>
      <c r="TJ84" s="1351"/>
      <c r="TK84" s="1351"/>
      <c r="TL84" s="1351"/>
      <c r="TM84" s="1351"/>
      <c r="TN84" s="1351"/>
      <c r="TO84" s="1351"/>
      <c r="TP84" s="1351"/>
      <c r="TQ84" s="1351"/>
      <c r="TR84" s="1351"/>
      <c r="TS84" s="1351"/>
      <c r="TT84" s="1351"/>
      <c r="TU84" s="1351"/>
      <c r="TV84" s="1351"/>
      <c r="TW84" s="1351"/>
      <c r="TX84" s="1351"/>
      <c r="TY84" s="1351"/>
      <c r="TZ84" s="1351"/>
      <c r="UA84" s="1351"/>
      <c r="UB84" s="1351"/>
      <c r="UC84" s="1351"/>
      <c r="UD84" s="1351"/>
      <c r="UE84" s="1351"/>
      <c r="UF84" s="1351"/>
      <c r="UG84" s="1351"/>
      <c r="UH84" s="1351"/>
      <c r="UI84" s="1351"/>
      <c r="UJ84" s="1351"/>
      <c r="UK84" s="1351"/>
      <c r="UL84" s="1351"/>
      <c r="UM84" s="1351"/>
      <c r="UN84" s="1351"/>
      <c r="UO84" s="1351"/>
      <c r="UP84" s="1351"/>
      <c r="UQ84" s="1351"/>
      <c r="UR84" s="1351"/>
      <c r="US84" s="1351"/>
      <c r="UT84" s="1351"/>
      <c r="UU84" s="1351"/>
      <c r="UV84" s="1351"/>
      <c r="UW84" s="1351"/>
      <c r="UX84" s="1351"/>
      <c r="UY84" s="1351"/>
      <c r="UZ84" s="1351"/>
      <c r="VA84" s="1351"/>
      <c r="VB84" s="1351"/>
      <c r="VC84" s="1351"/>
      <c r="VD84" s="1351"/>
      <c r="VE84" s="1351"/>
      <c r="VF84" s="1351"/>
      <c r="VG84" s="1351"/>
      <c r="VH84" s="1351"/>
      <c r="VI84" s="1351"/>
      <c r="VJ84" s="1351"/>
      <c r="VK84" s="1351"/>
      <c r="VL84" s="1351"/>
      <c r="VM84" s="1351"/>
      <c r="VN84" s="1351"/>
      <c r="VO84" s="1351"/>
      <c r="VP84" s="1351"/>
      <c r="VQ84" s="1351"/>
      <c r="VR84" s="1351"/>
      <c r="VS84" s="1351"/>
      <c r="VT84" s="1351"/>
      <c r="VU84" s="1351"/>
      <c r="VV84" s="1351"/>
      <c r="VW84" s="1351"/>
      <c r="VX84" s="1351"/>
      <c r="VY84" s="1351"/>
      <c r="VZ84" s="1351"/>
      <c r="WA84" s="1351"/>
      <c r="WB84" s="1351"/>
      <c r="WC84" s="1351"/>
      <c r="WD84" s="1351"/>
      <c r="WE84" s="1351"/>
      <c r="WF84" s="1351"/>
      <c r="WG84" s="1351"/>
      <c r="WH84" s="1351"/>
      <c r="WI84" s="1351"/>
      <c r="WJ84" s="1351"/>
      <c r="WK84" s="1351"/>
      <c r="WL84" s="1351"/>
      <c r="WM84" s="1351"/>
      <c r="WN84" s="1351"/>
      <c r="WO84" s="1351"/>
      <c r="WP84" s="1351"/>
      <c r="WQ84" s="1351"/>
      <c r="WR84" s="1351"/>
      <c r="WS84" s="1351"/>
      <c r="WT84" s="1351"/>
      <c r="WU84" s="1351"/>
      <c r="WV84" s="1351"/>
      <c r="WW84" s="1351"/>
      <c r="WX84" s="1351"/>
      <c r="WY84" s="1351"/>
      <c r="WZ84" s="1351"/>
      <c r="XA84" s="1351"/>
      <c r="XB84" s="1351"/>
      <c r="XC84" s="1351"/>
      <c r="XD84" s="1351"/>
      <c r="XE84" s="1351"/>
      <c r="XF84" s="1351"/>
      <c r="XG84" s="1351"/>
      <c r="XH84" s="1351"/>
      <c r="XI84" s="1351"/>
      <c r="XJ84" s="1351"/>
      <c r="XK84" s="1351"/>
      <c r="XL84" s="1351"/>
      <c r="XM84" s="1351"/>
      <c r="XN84" s="1351"/>
      <c r="XO84" s="1351"/>
      <c r="XP84" s="1351"/>
      <c r="XQ84" s="1351"/>
      <c r="XR84" s="1351"/>
      <c r="XS84" s="1351"/>
      <c r="XT84" s="1351"/>
      <c r="XU84" s="1351"/>
      <c r="XV84" s="1351"/>
      <c r="XW84" s="1351"/>
      <c r="XX84" s="1351"/>
      <c r="XY84" s="1351"/>
      <c r="XZ84" s="1351"/>
      <c r="YA84" s="1351"/>
      <c r="YB84" s="1351"/>
      <c r="YC84" s="1351"/>
      <c r="YD84" s="1351"/>
      <c r="YE84" s="1351"/>
      <c r="YF84" s="1351"/>
      <c r="YG84" s="1351"/>
      <c r="YH84" s="1351"/>
      <c r="YI84" s="1351"/>
      <c r="YJ84" s="1351"/>
      <c r="YK84" s="1351"/>
      <c r="YL84" s="1351"/>
      <c r="YM84" s="1351"/>
      <c r="YN84" s="1351"/>
      <c r="YO84" s="1351"/>
      <c r="YP84" s="1351"/>
      <c r="YQ84" s="1351"/>
      <c r="YR84" s="1351"/>
      <c r="YS84" s="1351"/>
      <c r="YT84" s="1351"/>
      <c r="YU84" s="1351"/>
      <c r="YV84" s="1351"/>
      <c r="YW84" s="1351"/>
      <c r="YX84" s="1351"/>
      <c r="YY84" s="1351"/>
      <c r="YZ84" s="1351"/>
      <c r="ZA84" s="1351"/>
      <c r="ZB84" s="1351"/>
      <c r="ZC84" s="1351"/>
      <c r="ZD84" s="1351"/>
      <c r="ZE84" s="1351"/>
      <c r="ZF84" s="1351"/>
      <c r="ZG84" s="1351"/>
      <c r="ZH84" s="1351"/>
      <c r="ZI84" s="1351"/>
      <c r="ZJ84" s="1351"/>
      <c r="ZK84" s="1351"/>
      <c r="ZL84" s="1351"/>
      <c r="ZM84" s="1351"/>
      <c r="ZN84" s="1351"/>
      <c r="ZO84" s="1351"/>
      <c r="ZP84" s="1351"/>
      <c r="ZQ84" s="1351"/>
      <c r="ZR84" s="1351"/>
      <c r="ZS84" s="1351"/>
      <c r="ZT84" s="1351"/>
      <c r="ZU84" s="1351"/>
      <c r="ZV84" s="1351"/>
      <c r="ZW84" s="1351"/>
      <c r="ZX84" s="1351"/>
      <c r="ZY84" s="1351"/>
      <c r="ZZ84" s="1351"/>
      <c r="AAA84" s="1351"/>
      <c r="AAB84" s="1351"/>
      <c r="AAC84" s="1351"/>
      <c r="AAD84" s="1351"/>
      <c r="AAE84" s="1351"/>
      <c r="AAF84" s="1351"/>
      <c r="AAG84" s="1351"/>
      <c r="AAH84" s="1351"/>
      <c r="AAI84" s="1351"/>
      <c r="AAJ84" s="1351"/>
      <c r="AAK84" s="1351"/>
      <c r="AAL84" s="1351"/>
      <c r="AAM84" s="1351"/>
      <c r="AAN84" s="1351"/>
      <c r="AAO84" s="1351"/>
      <c r="AAP84" s="1351"/>
      <c r="AAQ84" s="1351"/>
      <c r="AAR84" s="1351"/>
      <c r="AAS84" s="1351"/>
      <c r="AAT84" s="1351"/>
      <c r="AAU84" s="1351"/>
      <c r="AAV84" s="1351"/>
      <c r="AAW84" s="1351"/>
      <c r="AAX84" s="1351"/>
      <c r="AAY84" s="1351"/>
      <c r="AAZ84" s="1351"/>
      <c r="ABA84" s="1351"/>
      <c r="ABB84" s="1351"/>
      <c r="ABC84" s="1351"/>
      <c r="ABD84" s="1351"/>
      <c r="ABE84" s="1351"/>
      <c r="ABF84" s="1351"/>
      <c r="ABG84" s="1351"/>
      <c r="ABH84" s="1351"/>
      <c r="ABI84" s="1351"/>
      <c r="ABJ84" s="1351"/>
      <c r="ABK84" s="1351"/>
      <c r="ABL84" s="1351"/>
      <c r="ABM84" s="1351"/>
      <c r="ABN84" s="1351"/>
      <c r="ABO84" s="1351"/>
      <c r="ABP84" s="1351"/>
      <c r="ABQ84" s="1351"/>
      <c r="ABR84" s="1351"/>
      <c r="ABS84" s="1351"/>
      <c r="ABT84" s="1351"/>
      <c r="ABU84" s="1351"/>
      <c r="ABV84" s="1351"/>
      <c r="ABW84" s="1351"/>
      <c r="ABX84" s="1351"/>
      <c r="ABY84" s="1351"/>
      <c r="ABZ84" s="1351"/>
      <c r="ACA84" s="1351"/>
      <c r="ACB84" s="1351"/>
      <c r="ACC84" s="1351"/>
      <c r="ACD84" s="1351"/>
      <c r="ACE84" s="1351"/>
      <c r="ACF84" s="1351"/>
      <c r="ACG84" s="1351"/>
      <c r="ACH84" s="1351"/>
      <c r="ACI84" s="1351"/>
      <c r="ACJ84" s="1351"/>
      <c r="ACK84" s="1351"/>
      <c r="ACL84" s="1351"/>
      <c r="ACM84" s="1351"/>
      <c r="ACN84" s="1351"/>
      <c r="ACO84" s="1351"/>
      <c r="ACP84" s="1351"/>
      <c r="ACQ84" s="1351"/>
      <c r="ACR84" s="1351"/>
      <c r="ACS84" s="1351"/>
      <c r="ACT84" s="1351"/>
      <c r="ACU84" s="1351"/>
      <c r="ACV84" s="1351"/>
      <c r="ACW84" s="1351"/>
      <c r="ACX84" s="1351"/>
      <c r="ACY84" s="1351"/>
      <c r="ACZ84" s="1351"/>
      <c r="ADA84" s="1351"/>
      <c r="ADB84" s="1351"/>
      <c r="ADC84" s="1351"/>
      <c r="ADD84" s="1351"/>
      <c r="ADE84" s="1351"/>
      <c r="ADF84" s="1351"/>
      <c r="ADG84" s="1351"/>
      <c r="ADH84" s="1351"/>
      <c r="ADI84" s="1351"/>
      <c r="ADJ84" s="1351"/>
      <c r="ADK84" s="1351"/>
      <c r="ADL84" s="1351"/>
      <c r="ADM84" s="1351"/>
      <c r="ADN84" s="1351"/>
      <c r="ADO84" s="1351"/>
      <c r="ADP84" s="1351"/>
      <c r="ADQ84" s="1351"/>
      <c r="ADR84" s="1351"/>
      <c r="ADS84" s="1351"/>
      <c r="ADT84" s="1351"/>
      <c r="ADU84" s="1351"/>
      <c r="ADV84" s="1351"/>
      <c r="ADW84" s="1351"/>
      <c r="ADX84" s="1351"/>
      <c r="ADY84" s="1351"/>
      <c r="ADZ84" s="1351"/>
      <c r="AEA84" s="1351"/>
      <c r="AEB84" s="1351"/>
      <c r="AEC84" s="1351"/>
      <c r="AED84" s="1351"/>
      <c r="AEE84" s="1351"/>
      <c r="AEF84" s="1351"/>
      <c r="AEG84" s="1351"/>
      <c r="AEH84" s="1351"/>
      <c r="AEI84" s="1351"/>
      <c r="AEJ84" s="1351"/>
      <c r="AEK84" s="1351"/>
      <c r="AEL84" s="1351"/>
      <c r="AEM84" s="1351"/>
      <c r="AEN84" s="1351"/>
      <c r="AEO84" s="1351"/>
      <c r="AEP84" s="1351"/>
      <c r="AEQ84" s="1351"/>
      <c r="AER84" s="1351"/>
      <c r="AES84" s="1351"/>
      <c r="AET84" s="1351"/>
      <c r="AEU84" s="1351"/>
      <c r="AEV84" s="1351"/>
      <c r="AEW84" s="1351"/>
      <c r="AEX84" s="1351"/>
      <c r="AEY84" s="1351"/>
      <c r="AEZ84" s="1351"/>
      <c r="AFA84" s="1351"/>
      <c r="AFB84" s="1351"/>
      <c r="AFC84" s="1351"/>
      <c r="AFD84" s="1351"/>
      <c r="AFE84" s="1351"/>
      <c r="AFF84" s="1351"/>
      <c r="AFG84" s="1351"/>
      <c r="AFH84" s="1351"/>
      <c r="AFI84" s="1351"/>
      <c r="AFJ84" s="1351"/>
      <c r="AFK84" s="1351"/>
      <c r="AFL84" s="1351"/>
      <c r="AFM84" s="1351"/>
      <c r="AFN84" s="1351"/>
      <c r="AFO84" s="1351"/>
      <c r="AFP84" s="1351"/>
      <c r="AFQ84" s="1351"/>
      <c r="AFR84" s="1351"/>
      <c r="AFS84" s="1351"/>
      <c r="AFT84" s="1351"/>
      <c r="AFU84" s="1351"/>
      <c r="AFV84" s="1351"/>
      <c r="AFW84" s="1351"/>
      <c r="AFX84" s="1351"/>
      <c r="AFY84" s="1351"/>
      <c r="AFZ84" s="1351"/>
      <c r="AGA84" s="1351"/>
      <c r="AGB84" s="1351"/>
      <c r="AGC84" s="1351"/>
      <c r="AGD84" s="1351"/>
      <c r="AGE84" s="1351"/>
      <c r="AGF84" s="1351"/>
      <c r="AGG84" s="1351"/>
      <c r="AGH84" s="1351"/>
      <c r="AGI84" s="1351"/>
      <c r="AGJ84" s="1351"/>
      <c r="AGK84" s="1351"/>
      <c r="AGL84" s="1351"/>
      <c r="AGM84" s="1351"/>
      <c r="AGN84" s="1351"/>
      <c r="AGO84" s="1351"/>
      <c r="AGP84" s="1351"/>
      <c r="AGQ84" s="1351"/>
      <c r="AGR84" s="1351"/>
      <c r="AGS84" s="1351"/>
      <c r="AGT84" s="1351"/>
      <c r="AGU84" s="1351"/>
      <c r="AGV84" s="1351"/>
      <c r="AGW84" s="1351"/>
      <c r="AGX84" s="1351"/>
      <c r="AGY84" s="1351"/>
      <c r="AGZ84" s="1351"/>
      <c r="AHA84" s="1351"/>
      <c r="AHB84" s="1351"/>
      <c r="AHC84" s="1351"/>
      <c r="AHD84" s="1351"/>
      <c r="AHE84" s="1351"/>
      <c r="AHF84" s="1351"/>
      <c r="AHG84" s="1351"/>
      <c r="AHH84" s="1351"/>
      <c r="AHI84" s="1351"/>
      <c r="AHJ84" s="1351"/>
      <c r="AHK84" s="1351"/>
      <c r="AHL84" s="1351"/>
      <c r="AHM84" s="1351"/>
      <c r="AHN84" s="1351"/>
      <c r="AHO84" s="1351"/>
      <c r="AHP84" s="1351"/>
      <c r="AHQ84" s="1351"/>
      <c r="AHR84" s="1351"/>
      <c r="AHS84" s="1351"/>
      <c r="AHT84" s="1351"/>
      <c r="AHU84" s="1351"/>
      <c r="AHV84" s="1351"/>
      <c r="AHW84" s="1351"/>
      <c r="AHX84" s="1351"/>
      <c r="AHY84" s="1351"/>
      <c r="AHZ84" s="1351"/>
      <c r="AIA84" s="1351"/>
      <c r="AIB84" s="1351"/>
      <c r="AIC84" s="1351"/>
      <c r="AID84" s="1351"/>
      <c r="AIE84" s="1351"/>
      <c r="AIF84" s="1351"/>
      <c r="AIG84" s="1351"/>
      <c r="AIH84" s="1351"/>
      <c r="AII84" s="1351"/>
      <c r="AIJ84" s="1351"/>
      <c r="AIK84" s="1351"/>
      <c r="AIL84" s="1351"/>
      <c r="AIM84" s="1351"/>
      <c r="AIN84" s="1351"/>
      <c r="AIO84" s="1351"/>
      <c r="AIP84" s="1351"/>
      <c r="AIQ84" s="1351"/>
      <c r="AIR84" s="1351"/>
      <c r="AIS84" s="1351"/>
      <c r="AIT84" s="1351"/>
      <c r="AIU84" s="1351"/>
      <c r="AIV84" s="1351"/>
      <c r="AIW84" s="1351"/>
      <c r="AIX84" s="1351"/>
      <c r="AIY84" s="1351"/>
      <c r="AIZ84" s="1351"/>
      <c r="AJA84" s="1351"/>
      <c r="AJB84" s="1351"/>
      <c r="AJC84" s="1351"/>
      <c r="AJD84" s="1351"/>
      <c r="AJE84" s="1351"/>
      <c r="AJF84" s="1351"/>
      <c r="AJG84" s="1351"/>
      <c r="AJH84" s="1351"/>
      <c r="AJI84" s="1351"/>
      <c r="AJJ84" s="1351"/>
      <c r="AJK84" s="1351"/>
      <c r="AJL84" s="1351"/>
      <c r="AJM84" s="1351"/>
      <c r="AJN84" s="1351"/>
      <c r="AJO84" s="1351"/>
      <c r="AJP84" s="1351"/>
      <c r="AJQ84" s="1351"/>
      <c r="AJR84" s="1351"/>
      <c r="AJS84" s="1351"/>
      <c r="AJT84" s="1351"/>
      <c r="AJU84" s="1351"/>
      <c r="AJV84" s="1351"/>
      <c r="AJW84" s="1351"/>
      <c r="AJX84" s="1351"/>
      <c r="AJY84" s="1351"/>
      <c r="AJZ84" s="1351"/>
      <c r="AKA84" s="1351"/>
      <c r="AKB84" s="1351"/>
      <c r="AKC84" s="1351"/>
      <c r="AKD84" s="1351"/>
      <c r="AKE84" s="1351"/>
      <c r="AKF84" s="1351"/>
      <c r="AKG84" s="1351"/>
      <c r="AKH84" s="1351"/>
      <c r="AKI84" s="1351"/>
      <c r="AKJ84" s="1351"/>
      <c r="AKK84" s="1351"/>
      <c r="AKL84" s="1351"/>
      <c r="AKM84" s="1351"/>
      <c r="AKN84" s="1351"/>
      <c r="AKO84" s="1351"/>
      <c r="AKP84" s="1351"/>
      <c r="AKQ84" s="1351"/>
      <c r="AKR84" s="1351"/>
      <c r="AKS84" s="1351"/>
      <c r="AKT84" s="1351"/>
      <c r="AKU84" s="1351"/>
      <c r="AKV84" s="1351"/>
      <c r="AKW84" s="1351"/>
      <c r="AKX84" s="1351"/>
      <c r="AKY84" s="1351"/>
      <c r="AKZ84" s="1351"/>
      <c r="ALA84" s="1351"/>
      <c r="ALB84" s="1351"/>
      <c r="ALC84" s="1351"/>
      <c r="ALD84" s="1351"/>
      <c r="ALE84" s="1351"/>
      <c r="ALF84" s="1351"/>
      <c r="ALG84" s="1351"/>
      <c r="ALH84" s="1351"/>
      <c r="ALI84" s="1351"/>
      <c r="ALJ84" s="1351"/>
      <c r="ALK84" s="1351"/>
      <c r="ALL84" s="1351"/>
      <c r="ALM84" s="1351"/>
      <c r="ALN84" s="1351"/>
      <c r="ALO84" s="1351"/>
      <c r="ALP84" s="1351"/>
      <c r="ALQ84" s="1351"/>
      <c r="ALR84" s="1351"/>
      <c r="ALS84" s="1351"/>
      <c r="ALT84" s="1351"/>
      <c r="ALU84" s="1351"/>
      <c r="ALV84" s="1351"/>
      <c r="ALW84" s="1351"/>
      <c r="ALX84" s="1351"/>
      <c r="ALY84" s="1351"/>
      <c r="ALZ84" s="1351"/>
      <c r="AMA84" s="1351"/>
      <c r="AMB84" s="1351"/>
      <c r="AMC84" s="1351"/>
      <c r="AMD84" s="1351"/>
      <c r="AME84" s="1351"/>
      <c r="AMF84" s="1351"/>
      <c r="AMG84" s="1351"/>
      <c r="AMH84" s="1351"/>
      <c r="AMI84" s="1351"/>
      <c r="AMJ84" s="1351"/>
      <c r="AMK84" s="1351"/>
    </row>
    <row r="85" spans="1:1025">
      <c r="A85" s="115"/>
      <c r="B85" s="1008" t="s">
        <v>253</v>
      </c>
      <c r="C85" s="903">
        <f>SUM(C82:C84)</f>
        <v>44073000</v>
      </c>
      <c r="D85" s="925">
        <f>SUM(D82:D84)</f>
        <v>43873000</v>
      </c>
      <c r="E85" s="939">
        <f>SUM(E82:E84)</f>
        <v>40748000</v>
      </c>
      <c r="F85" s="956">
        <f>E85/D85</f>
        <v>0.92877168190002968</v>
      </c>
      <c r="K85"/>
    </row>
    <row r="86" spans="1:1025">
      <c r="A86" s="115"/>
      <c r="B86" s="12"/>
      <c r="C86" s="904"/>
      <c r="D86" s="926"/>
      <c r="E86" s="940"/>
      <c r="F86" s="957"/>
      <c r="K86"/>
    </row>
    <row r="87" spans="1:1025">
      <c r="A87" s="115"/>
      <c r="B87" s="12"/>
      <c r="C87" s="904"/>
      <c r="D87" s="926"/>
      <c r="E87" s="940"/>
      <c r="F87" s="957"/>
      <c r="K87"/>
    </row>
    <row r="88" spans="1:1025">
      <c r="A88" s="2175" t="s">
        <v>254</v>
      </c>
      <c r="B88" s="2175"/>
      <c r="C88" s="2175"/>
      <c r="D88" s="2175"/>
      <c r="E88" s="2175"/>
      <c r="F88" s="2175"/>
      <c r="K88"/>
    </row>
    <row r="89" spans="1:1025">
      <c r="A89" s="2173" t="s">
        <v>255</v>
      </c>
      <c r="B89" s="2173"/>
      <c r="C89" s="893">
        <v>474708000</v>
      </c>
      <c r="D89" s="915">
        <v>518708000</v>
      </c>
      <c r="E89" s="934">
        <v>518615000</v>
      </c>
      <c r="F89" s="950">
        <f>E89/D89</f>
        <v>0.99982070837542514</v>
      </c>
      <c r="K89"/>
    </row>
    <row r="90" spans="1:1025">
      <c r="A90" s="2180" t="s">
        <v>256</v>
      </c>
      <c r="B90" s="2180"/>
      <c r="C90" s="893"/>
      <c r="D90" s="916"/>
      <c r="E90" s="935"/>
      <c r="F90" s="950"/>
      <c r="K90"/>
    </row>
    <row r="91" spans="1:1025">
      <c r="A91" s="209" t="s">
        <v>49</v>
      </c>
      <c r="B91" s="1278" t="s">
        <v>1351</v>
      </c>
      <c r="C91" s="894">
        <v>0</v>
      </c>
      <c r="D91" s="915">
        <v>83000</v>
      </c>
      <c r="E91" s="934">
        <v>83000</v>
      </c>
      <c r="F91" s="950">
        <f t="shared" ref="F91" si="4">E91/D91</f>
        <v>1</v>
      </c>
      <c r="K91"/>
    </row>
    <row r="92" spans="1:1025" s="738" customFormat="1">
      <c r="A92" s="209" t="s">
        <v>51</v>
      </c>
      <c r="B92" s="1278" t="s">
        <v>1352</v>
      </c>
      <c r="C92" s="897">
        <v>12500000</v>
      </c>
      <c r="D92" s="919">
        <v>12500000</v>
      </c>
      <c r="E92" s="936">
        <v>12475000</v>
      </c>
      <c r="F92" s="951">
        <f t="shared" ref="F92" si="5">E92/D92</f>
        <v>0.998</v>
      </c>
      <c r="G92" s="737"/>
      <c r="H92" s="737"/>
      <c r="I92" s="737"/>
      <c r="J92" s="737"/>
      <c r="L92" s="737"/>
      <c r="M92" s="737"/>
      <c r="N92" s="737"/>
      <c r="O92" s="737"/>
      <c r="P92" s="737"/>
      <c r="Q92" s="737"/>
      <c r="R92" s="737"/>
      <c r="S92" s="737"/>
      <c r="T92" s="737"/>
      <c r="U92" s="737"/>
      <c r="V92" s="737"/>
      <c r="W92" s="737"/>
      <c r="X92" s="737"/>
      <c r="Y92" s="737"/>
      <c r="Z92" s="737"/>
      <c r="AA92" s="737"/>
      <c r="AB92" s="737"/>
      <c r="AC92" s="737"/>
      <c r="AD92" s="737"/>
      <c r="AE92" s="737"/>
      <c r="AF92" s="737"/>
      <c r="AG92" s="737"/>
      <c r="AH92" s="737"/>
      <c r="AI92" s="737"/>
      <c r="AJ92" s="737"/>
      <c r="AK92" s="737"/>
      <c r="AL92" s="737"/>
      <c r="AM92" s="737"/>
      <c r="AN92" s="737"/>
      <c r="AO92" s="737"/>
      <c r="AP92" s="737"/>
      <c r="AQ92" s="737"/>
      <c r="AR92" s="737"/>
      <c r="AS92" s="737"/>
      <c r="AT92" s="737"/>
      <c r="AU92" s="737"/>
      <c r="AV92" s="737"/>
      <c r="AW92" s="737"/>
      <c r="AX92" s="737"/>
      <c r="AY92" s="737"/>
      <c r="AZ92" s="737"/>
      <c r="BA92" s="737"/>
      <c r="BB92" s="737"/>
      <c r="BC92" s="737"/>
      <c r="BD92" s="737"/>
      <c r="BE92" s="737"/>
      <c r="BF92" s="737"/>
      <c r="BG92" s="737"/>
      <c r="BH92" s="737"/>
      <c r="BI92" s="737"/>
      <c r="BJ92" s="737"/>
      <c r="BK92" s="737"/>
      <c r="BL92" s="737"/>
      <c r="BM92" s="737"/>
      <c r="BN92" s="737"/>
      <c r="BO92" s="737"/>
      <c r="BP92" s="737"/>
      <c r="BQ92" s="737"/>
      <c r="BR92" s="737"/>
      <c r="BS92" s="737"/>
      <c r="BT92" s="737"/>
      <c r="BU92" s="737"/>
      <c r="BV92" s="737"/>
      <c r="BW92" s="737"/>
      <c r="BX92" s="737"/>
      <c r="BY92" s="737"/>
      <c r="BZ92" s="737"/>
      <c r="CA92" s="737"/>
      <c r="CB92" s="737"/>
      <c r="CC92" s="737"/>
      <c r="CD92" s="737"/>
      <c r="CE92" s="737"/>
      <c r="CF92" s="737"/>
      <c r="CG92" s="737"/>
      <c r="CH92" s="737"/>
      <c r="CI92" s="737"/>
      <c r="CJ92" s="737"/>
      <c r="CK92" s="737"/>
      <c r="CL92" s="737"/>
      <c r="CM92" s="737"/>
      <c r="CN92" s="737"/>
      <c r="CO92" s="737"/>
      <c r="CP92" s="737"/>
      <c r="CQ92" s="737"/>
      <c r="CR92" s="737"/>
      <c r="CS92" s="737"/>
      <c r="CT92" s="737"/>
      <c r="CU92" s="737"/>
      <c r="CV92" s="737"/>
      <c r="CW92" s="737"/>
      <c r="CX92" s="737"/>
      <c r="CY92" s="737"/>
      <c r="CZ92" s="737"/>
      <c r="DA92" s="737"/>
      <c r="DB92" s="737"/>
      <c r="DC92" s="737"/>
      <c r="DD92" s="737"/>
      <c r="DE92" s="737"/>
      <c r="DF92" s="737"/>
      <c r="DG92" s="737"/>
      <c r="DH92" s="737"/>
      <c r="DI92" s="737"/>
      <c r="DJ92" s="737"/>
      <c r="DK92" s="737"/>
      <c r="DL92" s="737"/>
      <c r="DM92" s="737"/>
      <c r="DN92" s="737"/>
      <c r="DO92" s="737"/>
      <c r="DP92" s="737"/>
      <c r="DQ92" s="737"/>
      <c r="DR92" s="737"/>
      <c r="DS92" s="737"/>
      <c r="DT92" s="737"/>
      <c r="DU92" s="737"/>
      <c r="DV92" s="737"/>
      <c r="DW92" s="737"/>
      <c r="DX92" s="737"/>
      <c r="DY92" s="737"/>
      <c r="DZ92" s="737"/>
      <c r="EA92" s="737"/>
      <c r="EB92" s="737"/>
      <c r="EC92" s="737"/>
      <c r="ED92" s="737"/>
      <c r="EE92" s="737"/>
      <c r="EF92" s="737"/>
      <c r="EG92" s="737"/>
      <c r="EH92" s="737"/>
      <c r="EI92" s="737"/>
      <c r="EJ92" s="737"/>
      <c r="EK92" s="737"/>
      <c r="EL92" s="737"/>
      <c r="EM92" s="737"/>
      <c r="EN92" s="737"/>
      <c r="EO92" s="737"/>
      <c r="EP92" s="737"/>
      <c r="EQ92" s="737"/>
      <c r="ER92" s="737"/>
      <c r="ES92" s="737"/>
      <c r="ET92" s="737"/>
      <c r="EU92" s="737"/>
      <c r="EV92" s="737"/>
      <c r="EW92" s="737"/>
      <c r="EX92" s="737"/>
      <c r="EY92" s="737"/>
      <c r="EZ92" s="737"/>
      <c r="FA92" s="737"/>
      <c r="FB92" s="737"/>
      <c r="FC92" s="737"/>
      <c r="FD92" s="737"/>
      <c r="FE92" s="737"/>
      <c r="FF92" s="737"/>
      <c r="FG92" s="737"/>
      <c r="FH92" s="737"/>
      <c r="FI92" s="737"/>
      <c r="FJ92" s="737"/>
      <c r="FK92" s="737"/>
      <c r="FL92" s="737"/>
      <c r="FM92" s="737"/>
      <c r="FN92" s="737"/>
      <c r="FO92" s="737"/>
      <c r="FP92" s="737"/>
      <c r="FQ92" s="737"/>
      <c r="FR92" s="737"/>
      <c r="FS92" s="737"/>
      <c r="FT92" s="737"/>
      <c r="FU92" s="737"/>
      <c r="FV92" s="737"/>
      <c r="FW92" s="737"/>
      <c r="FX92" s="737"/>
      <c r="FY92" s="737"/>
      <c r="FZ92" s="737"/>
      <c r="GA92" s="737"/>
      <c r="GB92" s="737"/>
      <c r="GC92" s="737"/>
      <c r="GD92" s="737"/>
      <c r="GE92" s="737"/>
      <c r="GF92" s="737"/>
      <c r="GG92" s="737"/>
      <c r="GH92" s="737"/>
      <c r="GI92" s="737"/>
      <c r="GJ92" s="737"/>
      <c r="GK92" s="737"/>
      <c r="GL92" s="737"/>
      <c r="GM92" s="737"/>
      <c r="GN92" s="737"/>
      <c r="GO92" s="737"/>
      <c r="GP92" s="737"/>
      <c r="GQ92" s="737"/>
      <c r="GR92" s="737"/>
      <c r="GS92" s="737"/>
      <c r="GT92" s="737"/>
      <c r="GU92" s="737"/>
      <c r="GV92" s="737"/>
      <c r="GW92" s="737"/>
      <c r="GX92" s="737"/>
      <c r="GY92" s="737"/>
      <c r="GZ92" s="737"/>
      <c r="HA92" s="737"/>
      <c r="HB92" s="737"/>
      <c r="HC92" s="737"/>
      <c r="HD92" s="737"/>
      <c r="HE92" s="737"/>
      <c r="HF92" s="737"/>
      <c r="HG92" s="737"/>
      <c r="HH92" s="737"/>
      <c r="HI92" s="737"/>
      <c r="HJ92" s="737"/>
      <c r="HK92" s="737"/>
      <c r="HL92" s="737"/>
      <c r="HM92" s="737"/>
      <c r="HN92" s="737"/>
      <c r="HO92" s="737"/>
      <c r="HP92" s="737"/>
      <c r="HQ92" s="737"/>
      <c r="HR92" s="737"/>
      <c r="HS92" s="737"/>
      <c r="HT92" s="737"/>
      <c r="HU92" s="737"/>
      <c r="HV92" s="737"/>
      <c r="HW92" s="737"/>
      <c r="HX92" s="737"/>
      <c r="HY92" s="737"/>
      <c r="HZ92" s="737"/>
      <c r="IA92" s="737"/>
      <c r="IB92" s="737"/>
      <c r="IC92" s="737"/>
      <c r="ID92" s="737"/>
      <c r="IE92" s="737"/>
      <c r="IF92" s="737"/>
      <c r="IG92" s="737"/>
      <c r="IH92" s="737"/>
      <c r="II92" s="737"/>
      <c r="IJ92" s="737"/>
      <c r="IK92" s="737"/>
      <c r="IL92" s="737"/>
      <c r="IM92" s="737"/>
      <c r="IN92" s="737"/>
      <c r="IO92" s="737"/>
      <c r="IP92" s="737"/>
      <c r="IQ92" s="737"/>
      <c r="IR92" s="737"/>
      <c r="IS92" s="737"/>
      <c r="IT92" s="737"/>
      <c r="IU92" s="737"/>
      <c r="IV92" s="737"/>
      <c r="IW92" s="737"/>
      <c r="IX92" s="737"/>
      <c r="IY92" s="737"/>
      <c r="IZ92" s="737"/>
      <c r="JA92" s="737"/>
      <c r="JB92" s="737"/>
      <c r="JC92" s="737"/>
      <c r="JD92" s="737"/>
      <c r="JE92" s="737"/>
      <c r="JF92" s="737"/>
      <c r="JG92" s="737"/>
      <c r="JH92" s="737"/>
      <c r="JI92" s="737"/>
      <c r="JJ92" s="737"/>
      <c r="JK92" s="737"/>
      <c r="JL92" s="737"/>
      <c r="JM92" s="737"/>
      <c r="JN92" s="737"/>
      <c r="JO92" s="737"/>
      <c r="JP92" s="737"/>
      <c r="JQ92" s="737"/>
      <c r="JR92" s="737"/>
      <c r="JS92" s="737"/>
      <c r="JT92" s="737"/>
      <c r="JU92" s="737"/>
      <c r="JV92" s="737"/>
      <c r="JW92" s="737"/>
      <c r="JX92" s="737"/>
      <c r="JY92" s="737"/>
      <c r="JZ92" s="737"/>
      <c r="KA92" s="737"/>
      <c r="KB92" s="737"/>
      <c r="KC92" s="737"/>
      <c r="KD92" s="737"/>
      <c r="KE92" s="737"/>
      <c r="KF92" s="737"/>
      <c r="KG92" s="737"/>
      <c r="KH92" s="737"/>
      <c r="KI92" s="737"/>
      <c r="KJ92" s="737"/>
      <c r="KK92" s="737"/>
      <c r="KL92" s="737"/>
      <c r="KM92" s="737"/>
      <c r="KN92" s="737"/>
      <c r="KO92" s="737"/>
      <c r="KP92" s="737"/>
      <c r="KQ92" s="737"/>
      <c r="KR92" s="737"/>
      <c r="KS92" s="737"/>
      <c r="KT92" s="737"/>
      <c r="KU92" s="737"/>
      <c r="KV92" s="737"/>
      <c r="KW92" s="737"/>
      <c r="KX92" s="737"/>
      <c r="KY92" s="737"/>
      <c r="KZ92" s="737"/>
      <c r="LA92" s="737"/>
      <c r="LB92" s="737"/>
      <c r="LC92" s="737"/>
      <c r="LD92" s="737"/>
      <c r="LE92" s="737"/>
      <c r="LF92" s="737"/>
      <c r="LG92" s="737"/>
      <c r="LH92" s="737"/>
      <c r="LI92" s="737"/>
      <c r="LJ92" s="737"/>
      <c r="LK92" s="737"/>
      <c r="LL92" s="737"/>
      <c r="LM92" s="737"/>
      <c r="LN92" s="737"/>
      <c r="LO92" s="737"/>
      <c r="LP92" s="737"/>
      <c r="LQ92" s="737"/>
      <c r="LR92" s="737"/>
      <c r="LS92" s="737"/>
      <c r="LT92" s="737"/>
      <c r="LU92" s="737"/>
      <c r="LV92" s="737"/>
      <c r="LW92" s="737"/>
      <c r="LX92" s="737"/>
      <c r="LY92" s="737"/>
      <c r="LZ92" s="737"/>
      <c r="MA92" s="737"/>
      <c r="MB92" s="737"/>
      <c r="MC92" s="737"/>
      <c r="MD92" s="737"/>
      <c r="ME92" s="737"/>
      <c r="MF92" s="737"/>
      <c r="MG92" s="737"/>
      <c r="MH92" s="737"/>
      <c r="MI92" s="737"/>
      <c r="MJ92" s="737"/>
      <c r="MK92" s="737"/>
      <c r="ML92" s="737"/>
      <c r="MM92" s="737"/>
      <c r="MN92" s="737"/>
      <c r="MO92" s="737"/>
      <c r="MP92" s="737"/>
      <c r="MQ92" s="737"/>
      <c r="MR92" s="737"/>
      <c r="MS92" s="737"/>
      <c r="MT92" s="737"/>
      <c r="MU92" s="737"/>
      <c r="MV92" s="737"/>
      <c r="MW92" s="737"/>
      <c r="MX92" s="737"/>
      <c r="MY92" s="737"/>
      <c r="MZ92" s="737"/>
      <c r="NA92" s="737"/>
      <c r="NB92" s="737"/>
      <c r="NC92" s="737"/>
      <c r="ND92" s="737"/>
      <c r="NE92" s="737"/>
      <c r="NF92" s="737"/>
      <c r="NG92" s="737"/>
      <c r="NH92" s="737"/>
      <c r="NI92" s="737"/>
      <c r="NJ92" s="737"/>
      <c r="NK92" s="737"/>
      <c r="NL92" s="737"/>
      <c r="NM92" s="737"/>
      <c r="NN92" s="737"/>
      <c r="NO92" s="737"/>
      <c r="NP92" s="737"/>
      <c r="NQ92" s="737"/>
      <c r="NR92" s="737"/>
      <c r="NS92" s="737"/>
      <c r="NT92" s="737"/>
      <c r="NU92" s="737"/>
      <c r="NV92" s="737"/>
      <c r="NW92" s="737"/>
      <c r="NX92" s="737"/>
      <c r="NY92" s="737"/>
      <c r="NZ92" s="737"/>
      <c r="OA92" s="737"/>
      <c r="OB92" s="737"/>
      <c r="OC92" s="737"/>
      <c r="OD92" s="737"/>
      <c r="OE92" s="737"/>
      <c r="OF92" s="737"/>
      <c r="OG92" s="737"/>
      <c r="OH92" s="737"/>
      <c r="OI92" s="737"/>
      <c r="OJ92" s="737"/>
      <c r="OK92" s="737"/>
      <c r="OL92" s="737"/>
      <c r="OM92" s="737"/>
      <c r="ON92" s="737"/>
      <c r="OO92" s="737"/>
      <c r="OP92" s="737"/>
      <c r="OQ92" s="737"/>
      <c r="OR92" s="737"/>
      <c r="OS92" s="737"/>
      <c r="OT92" s="737"/>
      <c r="OU92" s="737"/>
      <c r="OV92" s="737"/>
      <c r="OW92" s="737"/>
      <c r="OX92" s="737"/>
      <c r="OY92" s="737"/>
      <c r="OZ92" s="737"/>
      <c r="PA92" s="737"/>
      <c r="PB92" s="737"/>
      <c r="PC92" s="737"/>
      <c r="PD92" s="737"/>
      <c r="PE92" s="737"/>
      <c r="PF92" s="737"/>
      <c r="PG92" s="737"/>
      <c r="PH92" s="737"/>
      <c r="PI92" s="737"/>
      <c r="PJ92" s="737"/>
      <c r="PK92" s="737"/>
      <c r="PL92" s="737"/>
      <c r="PM92" s="737"/>
      <c r="PN92" s="737"/>
      <c r="PO92" s="737"/>
      <c r="PP92" s="737"/>
      <c r="PQ92" s="737"/>
      <c r="PR92" s="737"/>
      <c r="PS92" s="737"/>
      <c r="PT92" s="737"/>
      <c r="PU92" s="737"/>
      <c r="PV92" s="737"/>
      <c r="PW92" s="737"/>
      <c r="PX92" s="737"/>
      <c r="PY92" s="737"/>
      <c r="PZ92" s="737"/>
      <c r="QA92" s="737"/>
      <c r="QB92" s="737"/>
      <c r="QC92" s="737"/>
      <c r="QD92" s="737"/>
      <c r="QE92" s="737"/>
      <c r="QF92" s="737"/>
      <c r="QG92" s="737"/>
      <c r="QH92" s="737"/>
      <c r="QI92" s="737"/>
      <c r="QJ92" s="737"/>
      <c r="QK92" s="737"/>
      <c r="QL92" s="737"/>
      <c r="QM92" s="737"/>
      <c r="QN92" s="737"/>
      <c r="QO92" s="737"/>
      <c r="QP92" s="737"/>
      <c r="QQ92" s="737"/>
      <c r="QR92" s="737"/>
      <c r="QS92" s="737"/>
      <c r="QT92" s="737"/>
      <c r="QU92" s="737"/>
      <c r="QV92" s="737"/>
      <c r="QW92" s="737"/>
      <c r="QX92" s="737"/>
      <c r="QY92" s="737"/>
      <c r="QZ92" s="737"/>
      <c r="RA92" s="737"/>
      <c r="RB92" s="737"/>
      <c r="RC92" s="737"/>
      <c r="RD92" s="737"/>
      <c r="RE92" s="737"/>
      <c r="RF92" s="737"/>
      <c r="RG92" s="737"/>
      <c r="RH92" s="737"/>
      <c r="RI92" s="737"/>
      <c r="RJ92" s="737"/>
      <c r="RK92" s="737"/>
      <c r="RL92" s="737"/>
      <c r="RM92" s="737"/>
      <c r="RN92" s="737"/>
      <c r="RO92" s="737"/>
      <c r="RP92" s="737"/>
      <c r="RQ92" s="737"/>
      <c r="RR92" s="737"/>
      <c r="RS92" s="737"/>
      <c r="RT92" s="737"/>
      <c r="RU92" s="737"/>
      <c r="RV92" s="737"/>
      <c r="RW92" s="737"/>
      <c r="RX92" s="737"/>
      <c r="RY92" s="737"/>
      <c r="RZ92" s="737"/>
      <c r="SA92" s="737"/>
      <c r="SB92" s="737"/>
      <c r="SC92" s="737"/>
      <c r="SD92" s="737"/>
      <c r="SE92" s="737"/>
      <c r="SF92" s="737"/>
      <c r="SG92" s="737"/>
      <c r="SH92" s="737"/>
      <c r="SI92" s="737"/>
      <c r="SJ92" s="737"/>
      <c r="SK92" s="737"/>
      <c r="SL92" s="737"/>
      <c r="SM92" s="737"/>
      <c r="SN92" s="737"/>
      <c r="SO92" s="737"/>
      <c r="SP92" s="737"/>
      <c r="SQ92" s="737"/>
      <c r="SR92" s="737"/>
      <c r="SS92" s="737"/>
      <c r="ST92" s="737"/>
      <c r="SU92" s="737"/>
      <c r="SV92" s="737"/>
      <c r="SW92" s="737"/>
      <c r="SX92" s="737"/>
      <c r="SY92" s="737"/>
      <c r="SZ92" s="737"/>
      <c r="TA92" s="737"/>
      <c r="TB92" s="737"/>
      <c r="TC92" s="737"/>
      <c r="TD92" s="737"/>
      <c r="TE92" s="737"/>
      <c r="TF92" s="737"/>
      <c r="TG92" s="737"/>
      <c r="TH92" s="737"/>
      <c r="TI92" s="737"/>
      <c r="TJ92" s="737"/>
      <c r="TK92" s="737"/>
      <c r="TL92" s="737"/>
      <c r="TM92" s="737"/>
      <c r="TN92" s="737"/>
      <c r="TO92" s="737"/>
      <c r="TP92" s="737"/>
      <c r="TQ92" s="737"/>
      <c r="TR92" s="737"/>
      <c r="TS92" s="737"/>
      <c r="TT92" s="737"/>
      <c r="TU92" s="737"/>
      <c r="TV92" s="737"/>
      <c r="TW92" s="737"/>
      <c r="TX92" s="737"/>
      <c r="TY92" s="737"/>
      <c r="TZ92" s="737"/>
      <c r="UA92" s="737"/>
      <c r="UB92" s="737"/>
      <c r="UC92" s="737"/>
      <c r="UD92" s="737"/>
      <c r="UE92" s="737"/>
      <c r="UF92" s="737"/>
      <c r="UG92" s="737"/>
      <c r="UH92" s="737"/>
      <c r="UI92" s="737"/>
      <c r="UJ92" s="737"/>
      <c r="UK92" s="737"/>
      <c r="UL92" s="737"/>
      <c r="UM92" s="737"/>
      <c r="UN92" s="737"/>
      <c r="UO92" s="737"/>
      <c r="UP92" s="737"/>
      <c r="UQ92" s="737"/>
      <c r="UR92" s="737"/>
      <c r="US92" s="737"/>
      <c r="UT92" s="737"/>
      <c r="UU92" s="737"/>
      <c r="UV92" s="737"/>
      <c r="UW92" s="737"/>
      <c r="UX92" s="737"/>
      <c r="UY92" s="737"/>
      <c r="UZ92" s="737"/>
      <c r="VA92" s="737"/>
      <c r="VB92" s="737"/>
      <c r="VC92" s="737"/>
      <c r="VD92" s="737"/>
      <c r="VE92" s="737"/>
      <c r="VF92" s="737"/>
      <c r="VG92" s="737"/>
      <c r="VH92" s="737"/>
      <c r="VI92" s="737"/>
      <c r="VJ92" s="737"/>
      <c r="VK92" s="737"/>
      <c r="VL92" s="737"/>
      <c r="VM92" s="737"/>
      <c r="VN92" s="737"/>
      <c r="VO92" s="737"/>
      <c r="VP92" s="737"/>
      <c r="VQ92" s="737"/>
      <c r="VR92" s="737"/>
      <c r="VS92" s="737"/>
      <c r="VT92" s="737"/>
      <c r="VU92" s="737"/>
      <c r="VV92" s="737"/>
      <c r="VW92" s="737"/>
      <c r="VX92" s="737"/>
      <c r="VY92" s="737"/>
      <c r="VZ92" s="737"/>
      <c r="WA92" s="737"/>
      <c r="WB92" s="737"/>
      <c r="WC92" s="737"/>
      <c r="WD92" s="737"/>
      <c r="WE92" s="737"/>
      <c r="WF92" s="737"/>
      <c r="WG92" s="737"/>
      <c r="WH92" s="737"/>
      <c r="WI92" s="737"/>
      <c r="WJ92" s="737"/>
      <c r="WK92" s="737"/>
      <c r="WL92" s="737"/>
      <c r="WM92" s="737"/>
      <c r="WN92" s="737"/>
      <c r="WO92" s="737"/>
      <c r="WP92" s="737"/>
      <c r="WQ92" s="737"/>
      <c r="WR92" s="737"/>
      <c r="WS92" s="737"/>
      <c r="WT92" s="737"/>
      <c r="WU92" s="737"/>
      <c r="WV92" s="737"/>
      <c r="WW92" s="737"/>
      <c r="WX92" s="737"/>
      <c r="WY92" s="737"/>
      <c r="WZ92" s="737"/>
      <c r="XA92" s="737"/>
      <c r="XB92" s="737"/>
      <c r="XC92" s="737"/>
      <c r="XD92" s="737"/>
      <c r="XE92" s="737"/>
      <c r="XF92" s="737"/>
      <c r="XG92" s="737"/>
      <c r="XH92" s="737"/>
      <c r="XI92" s="737"/>
      <c r="XJ92" s="737"/>
      <c r="XK92" s="737"/>
      <c r="XL92" s="737"/>
      <c r="XM92" s="737"/>
      <c r="XN92" s="737"/>
      <c r="XO92" s="737"/>
      <c r="XP92" s="737"/>
      <c r="XQ92" s="737"/>
      <c r="XR92" s="737"/>
      <c r="XS92" s="737"/>
      <c r="XT92" s="737"/>
      <c r="XU92" s="737"/>
      <c r="XV92" s="737"/>
      <c r="XW92" s="737"/>
      <c r="XX92" s="737"/>
      <c r="XY92" s="737"/>
      <c r="XZ92" s="737"/>
      <c r="YA92" s="737"/>
      <c r="YB92" s="737"/>
      <c r="YC92" s="737"/>
      <c r="YD92" s="737"/>
      <c r="YE92" s="737"/>
      <c r="YF92" s="737"/>
      <c r="YG92" s="737"/>
      <c r="YH92" s="737"/>
      <c r="YI92" s="737"/>
      <c r="YJ92" s="737"/>
      <c r="YK92" s="737"/>
      <c r="YL92" s="737"/>
      <c r="YM92" s="737"/>
      <c r="YN92" s="737"/>
      <c r="YO92" s="737"/>
      <c r="YP92" s="737"/>
      <c r="YQ92" s="737"/>
      <c r="YR92" s="737"/>
      <c r="YS92" s="737"/>
      <c r="YT92" s="737"/>
      <c r="YU92" s="737"/>
      <c r="YV92" s="737"/>
      <c r="YW92" s="737"/>
      <c r="YX92" s="737"/>
      <c r="YY92" s="737"/>
      <c r="YZ92" s="737"/>
      <c r="ZA92" s="737"/>
      <c r="ZB92" s="737"/>
      <c r="ZC92" s="737"/>
      <c r="ZD92" s="737"/>
      <c r="ZE92" s="737"/>
      <c r="ZF92" s="737"/>
      <c r="ZG92" s="737"/>
      <c r="ZH92" s="737"/>
      <c r="ZI92" s="737"/>
      <c r="ZJ92" s="737"/>
      <c r="ZK92" s="737"/>
      <c r="ZL92" s="737"/>
      <c r="ZM92" s="737"/>
      <c r="ZN92" s="737"/>
      <c r="ZO92" s="737"/>
      <c r="ZP92" s="737"/>
      <c r="ZQ92" s="737"/>
      <c r="ZR92" s="737"/>
      <c r="ZS92" s="737"/>
      <c r="ZT92" s="737"/>
      <c r="ZU92" s="737"/>
      <c r="ZV92" s="737"/>
      <c r="ZW92" s="737"/>
      <c r="ZX92" s="737"/>
      <c r="ZY92" s="737"/>
      <c r="ZZ92" s="737"/>
      <c r="AAA92" s="737"/>
      <c r="AAB92" s="737"/>
      <c r="AAC92" s="737"/>
      <c r="AAD92" s="737"/>
      <c r="AAE92" s="737"/>
      <c r="AAF92" s="737"/>
      <c r="AAG92" s="737"/>
      <c r="AAH92" s="737"/>
      <c r="AAI92" s="737"/>
      <c r="AAJ92" s="737"/>
      <c r="AAK92" s="737"/>
      <c r="AAL92" s="737"/>
      <c r="AAM92" s="737"/>
      <c r="AAN92" s="737"/>
      <c r="AAO92" s="737"/>
      <c r="AAP92" s="737"/>
      <c r="AAQ92" s="737"/>
      <c r="AAR92" s="737"/>
      <c r="AAS92" s="737"/>
      <c r="AAT92" s="737"/>
      <c r="AAU92" s="737"/>
      <c r="AAV92" s="737"/>
      <c r="AAW92" s="737"/>
      <c r="AAX92" s="737"/>
      <c r="AAY92" s="737"/>
      <c r="AAZ92" s="737"/>
      <c r="ABA92" s="737"/>
      <c r="ABB92" s="737"/>
      <c r="ABC92" s="737"/>
      <c r="ABD92" s="737"/>
      <c r="ABE92" s="737"/>
      <c r="ABF92" s="737"/>
      <c r="ABG92" s="737"/>
      <c r="ABH92" s="737"/>
      <c r="ABI92" s="737"/>
      <c r="ABJ92" s="737"/>
      <c r="ABK92" s="737"/>
      <c r="ABL92" s="737"/>
      <c r="ABM92" s="737"/>
      <c r="ABN92" s="737"/>
      <c r="ABO92" s="737"/>
      <c r="ABP92" s="737"/>
      <c r="ABQ92" s="737"/>
      <c r="ABR92" s="737"/>
      <c r="ABS92" s="737"/>
      <c r="ABT92" s="737"/>
      <c r="ABU92" s="737"/>
      <c r="ABV92" s="737"/>
      <c r="ABW92" s="737"/>
      <c r="ABX92" s="737"/>
      <c r="ABY92" s="737"/>
      <c r="ABZ92" s="737"/>
      <c r="ACA92" s="737"/>
      <c r="ACB92" s="737"/>
      <c r="ACC92" s="737"/>
      <c r="ACD92" s="737"/>
      <c r="ACE92" s="737"/>
      <c r="ACF92" s="737"/>
      <c r="ACG92" s="737"/>
      <c r="ACH92" s="737"/>
      <c r="ACI92" s="737"/>
      <c r="ACJ92" s="737"/>
      <c r="ACK92" s="737"/>
      <c r="ACL92" s="737"/>
      <c r="ACM92" s="737"/>
      <c r="ACN92" s="737"/>
      <c r="ACO92" s="737"/>
      <c r="ACP92" s="737"/>
      <c r="ACQ92" s="737"/>
      <c r="ACR92" s="737"/>
      <c r="ACS92" s="737"/>
      <c r="ACT92" s="737"/>
      <c r="ACU92" s="737"/>
      <c r="ACV92" s="737"/>
      <c r="ACW92" s="737"/>
      <c r="ACX92" s="737"/>
      <c r="ACY92" s="737"/>
      <c r="ACZ92" s="737"/>
      <c r="ADA92" s="737"/>
      <c r="ADB92" s="737"/>
      <c r="ADC92" s="737"/>
      <c r="ADD92" s="737"/>
      <c r="ADE92" s="737"/>
      <c r="ADF92" s="737"/>
      <c r="ADG92" s="737"/>
      <c r="ADH92" s="737"/>
      <c r="ADI92" s="737"/>
      <c r="ADJ92" s="737"/>
      <c r="ADK92" s="737"/>
      <c r="ADL92" s="737"/>
      <c r="ADM92" s="737"/>
      <c r="ADN92" s="737"/>
      <c r="ADO92" s="737"/>
      <c r="ADP92" s="737"/>
      <c r="ADQ92" s="737"/>
      <c r="ADR92" s="737"/>
      <c r="ADS92" s="737"/>
      <c r="ADT92" s="737"/>
      <c r="ADU92" s="737"/>
      <c r="ADV92" s="737"/>
      <c r="ADW92" s="737"/>
      <c r="ADX92" s="737"/>
      <c r="ADY92" s="737"/>
      <c r="ADZ92" s="737"/>
      <c r="AEA92" s="737"/>
      <c r="AEB92" s="737"/>
      <c r="AEC92" s="737"/>
      <c r="AED92" s="737"/>
      <c r="AEE92" s="737"/>
      <c r="AEF92" s="737"/>
      <c r="AEG92" s="737"/>
      <c r="AEH92" s="737"/>
      <c r="AEI92" s="737"/>
      <c r="AEJ92" s="737"/>
      <c r="AEK92" s="737"/>
      <c r="AEL92" s="737"/>
      <c r="AEM92" s="737"/>
      <c r="AEN92" s="737"/>
      <c r="AEO92" s="737"/>
      <c r="AEP92" s="737"/>
      <c r="AEQ92" s="737"/>
      <c r="AER92" s="737"/>
      <c r="AES92" s="737"/>
      <c r="AET92" s="737"/>
      <c r="AEU92" s="737"/>
      <c r="AEV92" s="737"/>
      <c r="AEW92" s="737"/>
      <c r="AEX92" s="737"/>
      <c r="AEY92" s="737"/>
      <c r="AEZ92" s="737"/>
      <c r="AFA92" s="737"/>
      <c r="AFB92" s="737"/>
      <c r="AFC92" s="737"/>
      <c r="AFD92" s="737"/>
      <c r="AFE92" s="737"/>
      <c r="AFF92" s="737"/>
      <c r="AFG92" s="737"/>
      <c r="AFH92" s="737"/>
      <c r="AFI92" s="737"/>
      <c r="AFJ92" s="737"/>
      <c r="AFK92" s="737"/>
      <c r="AFL92" s="737"/>
      <c r="AFM92" s="737"/>
      <c r="AFN92" s="737"/>
      <c r="AFO92" s="737"/>
      <c r="AFP92" s="737"/>
      <c r="AFQ92" s="737"/>
      <c r="AFR92" s="737"/>
      <c r="AFS92" s="737"/>
      <c r="AFT92" s="737"/>
      <c r="AFU92" s="737"/>
      <c r="AFV92" s="737"/>
      <c r="AFW92" s="737"/>
      <c r="AFX92" s="737"/>
      <c r="AFY92" s="737"/>
      <c r="AFZ92" s="737"/>
      <c r="AGA92" s="737"/>
      <c r="AGB92" s="737"/>
      <c r="AGC92" s="737"/>
      <c r="AGD92" s="737"/>
      <c r="AGE92" s="737"/>
      <c r="AGF92" s="737"/>
      <c r="AGG92" s="737"/>
      <c r="AGH92" s="737"/>
      <c r="AGI92" s="737"/>
      <c r="AGJ92" s="737"/>
      <c r="AGK92" s="737"/>
      <c r="AGL92" s="737"/>
      <c r="AGM92" s="737"/>
      <c r="AGN92" s="737"/>
      <c r="AGO92" s="737"/>
      <c r="AGP92" s="737"/>
      <c r="AGQ92" s="737"/>
      <c r="AGR92" s="737"/>
      <c r="AGS92" s="737"/>
      <c r="AGT92" s="737"/>
      <c r="AGU92" s="737"/>
      <c r="AGV92" s="737"/>
      <c r="AGW92" s="737"/>
      <c r="AGX92" s="737"/>
      <c r="AGY92" s="737"/>
      <c r="AGZ92" s="737"/>
      <c r="AHA92" s="737"/>
      <c r="AHB92" s="737"/>
      <c r="AHC92" s="737"/>
      <c r="AHD92" s="737"/>
      <c r="AHE92" s="737"/>
      <c r="AHF92" s="737"/>
      <c r="AHG92" s="737"/>
      <c r="AHH92" s="737"/>
      <c r="AHI92" s="737"/>
      <c r="AHJ92" s="737"/>
      <c r="AHK92" s="737"/>
      <c r="AHL92" s="737"/>
      <c r="AHM92" s="737"/>
      <c r="AHN92" s="737"/>
      <c r="AHO92" s="737"/>
      <c r="AHP92" s="737"/>
      <c r="AHQ92" s="737"/>
      <c r="AHR92" s="737"/>
      <c r="AHS92" s="737"/>
      <c r="AHT92" s="737"/>
      <c r="AHU92" s="737"/>
      <c r="AHV92" s="737"/>
      <c r="AHW92" s="737"/>
      <c r="AHX92" s="737"/>
      <c r="AHY92" s="737"/>
      <c r="AHZ92" s="737"/>
      <c r="AIA92" s="737"/>
      <c r="AIB92" s="737"/>
      <c r="AIC92" s="737"/>
      <c r="AID92" s="737"/>
      <c r="AIE92" s="737"/>
      <c r="AIF92" s="737"/>
      <c r="AIG92" s="737"/>
      <c r="AIH92" s="737"/>
      <c r="AII92" s="737"/>
      <c r="AIJ92" s="737"/>
      <c r="AIK92" s="737"/>
      <c r="AIL92" s="737"/>
      <c r="AIM92" s="737"/>
      <c r="AIN92" s="737"/>
      <c r="AIO92" s="737"/>
      <c r="AIP92" s="737"/>
      <c r="AIQ92" s="737"/>
      <c r="AIR92" s="737"/>
      <c r="AIS92" s="737"/>
      <c r="AIT92" s="737"/>
      <c r="AIU92" s="737"/>
      <c r="AIV92" s="737"/>
      <c r="AIW92" s="737"/>
      <c r="AIX92" s="737"/>
      <c r="AIY92" s="737"/>
      <c r="AIZ92" s="737"/>
      <c r="AJA92" s="737"/>
      <c r="AJB92" s="737"/>
      <c r="AJC92" s="737"/>
      <c r="AJD92" s="737"/>
      <c r="AJE92" s="737"/>
      <c r="AJF92" s="737"/>
      <c r="AJG92" s="737"/>
      <c r="AJH92" s="737"/>
      <c r="AJI92" s="737"/>
      <c r="AJJ92" s="737"/>
      <c r="AJK92" s="737"/>
      <c r="AJL92" s="737"/>
      <c r="AJM92" s="737"/>
      <c r="AJN92" s="737"/>
      <c r="AJO92" s="737"/>
      <c r="AJP92" s="737"/>
      <c r="AJQ92" s="737"/>
      <c r="AJR92" s="737"/>
      <c r="AJS92" s="737"/>
      <c r="AJT92" s="737"/>
      <c r="AJU92" s="737"/>
      <c r="AJV92" s="737"/>
      <c r="AJW92" s="737"/>
      <c r="AJX92" s="737"/>
      <c r="AJY92" s="737"/>
      <c r="AJZ92" s="737"/>
      <c r="AKA92" s="737"/>
      <c r="AKB92" s="737"/>
      <c r="AKC92" s="737"/>
      <c r="AKD92" s="737"/>
      <c r="AKE92" s="737"/>
      <c r="AKF92" s="737"/>
      <c r="AKG92" s="737"/>
      <c r="AKH92" s="737"/>
      <c r="AKI92" s="737"/>
      <c r="AKJ92" s="737"/>
      <c r="AKK92" s="737"/>
      <c r="AKL92" s="737"/>
      <c r="AKM92" s="737"/>
      <c r="AKN92" s="737"/>
      <c r="AKO92" s="737"/>
      <c r="AKP92" s="737"/>
      <c r="AKQ92" s="737"/>
      <c r="AKR92" s="737"/>
      <c r="AKS92" s="737"/>
      <c r="AKT92" s="737"/>
      <c r="AKU92" s="737"/>
      <c r="AKV92" s="737"/>
      <c r="AKW92" s="737"/>
      <c r="AKX92" s="737"/>
      <c r="AKY92" s="737"/>
      <c r="AKZ92" s="737"/>
      <c r="ALA92" s="737"/>
      <c r="ALB92" s="737"/>
      <c r="ALC92" s="737"/>
      <c r="ALD92" s="737"/>
      <c r="ALE92" s="737"/>
      <c r="ALF92" s="737"/>
      <c r="ALG92" s="737"/>
      <c r="ALH92" s="737"/>
      <c r="ALI92" s="737"/>
      <c r="ALJ92" s="737"/>
      <c r="ALK92" s="737"/>
      <c r="ALL92" s="737"/>
      <c r="ALM92" s="737"/>
      <c r="ALN92" s="737"/>
      <c r="ALO92" s="737"/>
      <c r="ALP92" s="737"/>
      <c r="ALQ92" s="737"/>
      <c r="ALR92" s="737"/>
      <c r="ALS92" s="737"/>
      <c r="ALT92" s="737"/>
      <c r="ALU92" s="737"/>
      <c r="ALV92" s="737"/>
      <c r="ALW92" s="737"/>
      <c r="ALX92" s="737"/>
      <c r="ALY92" s="737"/>
      <c r="ALZ92" s="737"/>
      <c r="AMA92" s="737"/>
      <c r="AMB92" s="737"/>
      <c r="AMC92" s="737"/>
      <c r="AMD92" s="737"/>
      <c r="AME92" s="737"/>
      <c r="AMF92" s="737"/>
      <c r="AMG92" s="737"/>
      <c r="AMH92" s="737"/>
      <c r="AMI92" s="737"/>
      <c r="AMJ92" s="737"/>
      <c r="AMK92" s="737"/>
    </row>
    <row r="93" spans="1:1025">
      <c r="A93" s="115"/>
      <c r="B93" s="212" t="s">
        <v>257</v>
      </c>
      <c r="C93" s="905">
        <f>SUM(C91:C92)</f>
        <v>12500000</v>
      </c>
      <c r="D93" s="927">
        <f>SUM(D91:D92)</f>
        <v>12583000</v>
      </c>
      <c r="E93" s="941">
        <f>SUM(E91:E92)</f>
        <v>12558000</v>
      </c>
      <c r="F93" s="952">
        <f>E93/D93</f>
        <v>0.99801319240244779</v>
      </c>
      <c r="K93"/>
    </row>
    <row r="94" spans="1:1025">
      <c r="A94" s="115"/>
      <c r="B94" s="11"/>
      <c r="C94" s="906"/>
      <c r="D94" s="915"/>
      <c r="E94" s="934"/>
      <c r="F94" s="952"/>
      <c r="K94"/>
    </row>
    <row r="95" spans="1:1025">
      <c r="A95" s="2182" t="s">
        <v>1603</v>
      </c>
      <c r="B95" s="2182"/>
      <c r="C95" s="905">
        <v>1000000</v>
      </c>
      <c r="D95" s="920">
        <v>1200000</v>
      </c>
      <c r="E95" s="937">
        <v>1200000</v>
      </c>
      <c r="F95" s="952">
        <f t="shared" ref="F95" si="6">E95/D95</f>
        <v>1</v>
      </c>
      <c r="K95"/>
    </row>
    <row r="96" spans="1:1025">
      <c r="A96" s="1670"/>
      <c r="B96" s="1670"/>
      <c r="C96" s="905"/>
      <c r="D96" s="920"/>
      <c r="E96" s="937"/>
      <c r="F96" s="952"/>
      <c r="K96"/>
    </row>
    <row r="97" spans="1:11">
      <c r="A97" s="2180" t="s">
        <v>258</v>
      </c>
      <c r="B97" s="2180"/>
      <c r="C97" s="893"/>
      <c r="D97" s="915"/>
      <c r="E97" s="934"/>
      <c r="F97" s="950"/>
      <c r="K97"/>
    </row>
    <row r="98" spans="1:11">
      <c r="A98" s="162" t="s">
        <v>49</v>
      </c>
      <c r="B98" s="1280" t="s">
        <v>259</v>
      </c>
      <c r="C98" s="909">
        <v>10000000</v>
      </c>
      <c r="D98" s="929">
        <v>10000000</v>
      </c>
      <c r="E98" s="947">
        <f>SUM(E99:E105)</f>
        <v>10000000</v>
      </c>
      <c r="F98" s="958">
        <f t="shared" ref="F98:F105" si="7">E98/D98</f>
        <v>1</v>
      </c>
      <c r="K98"/>
    </row>
    <row r="99" spans="1:11">
      <c r="A99" s="115"/>
      <c r="B99" s="1279" t="s">
        <v>260</v>
      </c>
      <c r="C99" s="893">
        <v>2800000</v>
      </c>
      <c r="D99" s="915">
        <f>+C99</f>
        <v>2800000</v>
      </c>
      <c r="E99" s="934">
        <v>2800000</v>
      </c>
      <c r="F99" s="950">
        <f t="shared" si="7"/>
        <v>1</v>
      </c>
      <c r="K99"/>
    </row>
    <row r="100" spans="1:11">
      <c r="A100" s="115"/>
      <c r="B100" s="1279" t="s">
        <v>261</v>
      </c>
      <c r="C100" s="893">
        <v>1570000</v>
      </c>
      <c r="D100" s="915">
        <f>+C100</f>
        <v>1570000</v>
      </c>
      <c r="E100" s="934">
        <v>1570000</v>
      </c>
      <c r="F100" s="950">
        <f t="shared" si="7"/>
        <v>1</v>
      </c>
      <c r="K100"/>
    </row>
    <row r="101" spans="1:11">
      <c r="A101" s="115"/>
      <c r="B101" s="1279" t="s">
        <v>262</v>
      </c>
      <c r="C101" s="893">
        <v>1470000</v>
      </c>
      <c r="D101" s="915">
        <f>+C101</f>
        <v>1470000</v>
      </c>
      <c r="E101" s="934">
        <v>1470000</v>
      </c>
      <c r="F101" s="950">
        <f t="shared" si="7"/>
        <v>1</v>
      </c>
      <c r="K101"/>
    </row>
    <row r="102" spans="1:11">
      <c r="A102" s="115"/>
      <c r="B102" s="1279" t="s">
        <v>263</v>
      </c>
      <c r="C102" s="893">
        <v>2140000</v>
      </c>
      <c r="D102" s="915">
        <f>+C102</f>
        <v>2140000</v>
      </c>
      <c r="E102" s="934">
        <v>2140000</v>
      </c>
      <c r="F102" s="950">
        <f t="shared" si="7"/>
        <v>1</v>
      </c>
      <c r="K102"/>
    </row>
    <row r="103" spans="1:11">
      <c r="A103" s="115"/>
      <c r="B103" s="1279" t="s">
        <v>264</v>
      </c>
      <c r="C103" s="893">
        <v>1060000</v>
      </c>
      <c r="D103" s="915">
        <f>+C103</f>
        <v>1060000</v>
      </c>
      <c r="E103" s="934">
        <v>1060000</v>
      </c>
      <c r="F103" s="950">
        <f t="shared" si="7"/>
        <v>1</v>
      </c>
      <c r="K103"/>
    </row>
    <row r="104" spans="1:11">
      <c r="A104" s="115"/>
      <c r="B104" s="1279" t="s">
        <v>1749</v>
      </c>
      <c r="C104" s="893">
        <v>380000</v>
      </c>
      <c r="D104" s="915">
        <v>380000</v>
      </c>
      <c r="E104" s="934">
        <v>380000</v>
      </c>
      <c r="F104" s="950">
        <f t="shared" si="7"/>
        <v>1</v>
      </c>
      <c r="K104"/>
    </row>
    <row r="105" spans="1:11">
      <c r="A105" s="115"/>
      <c r="B105" s="1279" t="s">
        <v>2083</v>
      </c>
      <c r="C105" s="893">
        <v>580000</v>
      </c>
      <c r="D105" s="915">
        <f>+C105</f>
        <v>580000</v>
      </c>
      <c r="E105" s="934">
        <v>580000</v>
      </c>
      <c r="F105" s="950">
        <f t="shared" si="7"/>
        <v>1</v>
      </c>
      <c r="K105"/>
    </row>
    <row r="106" spans="1:11">
      <c r="A106" s="337"/>
      <c r="B106" s="1669"/>
      <c r="C106" s="893"/>
      <c r="D106" s="915"/>
      <c r="E106" s="934"/>
      <c r="F106" s="955"/>
      <c r="K106"/>
    </row>
    <row r="107" spans="1:11">
      <c r="A107" s="209" t="s">
        <v>51</v>
      </c>
      <c r="B107" s="10" t="s">
        <v>265</v>
      </c>
      <c r="C107" s="898">
        <v>2100000</v>
      </c>
      <c r="D107" s="920">
        <v>2191000</v>
      </c>
      <c r="E107" s="937">
        <f>+D107</f>
        <v>2191000</v>
      </c>
      <c r="F107" s="959">
        <f>E107/D107</f>
        <v>1</v>
      </c>
      <c r="K107"/>
    </row>
    <row r="108" spans="1:11">
      <c r="A108" s="115"/>
      <c r="B108" s="115"/>
      <c r="C108" s="894"/>
      <c r="D108" s="915"/>
      <c r="E108" s="934"/>
      <c r="F108" s="950"/>
      <c r="K108"/>
    </row>
    <row r="109" spans="1:11">
      <c r="A109" s="162" t="s">
        <v>53</v>
      </c>
      <c r="B109" s="213" t="s">
        <v>266</v>
      </c>
      <c r="C109" s="909">
        <f>SUM(C110:C113)</f>
        <v>1350000</v>
      </c>
      <c r="D109" s="929">
        <v>1700000</v>
      </c>
      <c r="E109" s="947">
        <f>SUM(E110:E113)</f>
        <v>1700000</v>
      </c>
      <c r="F109" s="958">
        <f>E109/D109</f>
        <v>1</v>
      </c>
      <c r="K109"/>
    </row>
    <row r="110" spans="1:11">
      <c r="A110" s="115"/>
      <c r="B110" s="1" t="s">
        <v>267</v>
      </c>
      <c r="C110" s="893">
        <v>400000</v>
      </c>
      <c r="D110" s="915">
        <v>400000</v>
      </c>
      <c r="E110" s="934">
        <v>400000</v>
      </c>
      <c r="F110" s="950">
        <f>E110/D110</f>
        <v>1</v>
      </c>
      <c r="K110"/>
    </row>
    <row r="111" spans="1:11">
      <c r="A111" s="115"/>
      <c r="B111" s="1" t="s">
        <v>268</v>
      </c>
      <c r="C111" s="893">
        <v>300000</v>
      </c>
      <c r="D111" s="915">
        <v>500000</v>
      </c>
      <c r="E111" s="934">
        <v>500000</v>
      </c>
      <c r="F111" s="950">
        <f>E111/D111</f>
        <v>1</v>
      </c>
      <c r="K111"/>
    </row>
    <row r="112" spans="1:11">
      <c r="A112" s="115"/>
      <c r="B112" s="1" t="s">
        <v>1353</v>
      </c>
      <c r="C112" s="893">
        <v>275000</v>
      </c>
      <c r="D112" s="915">
        <v>350000</v>
      </c>
      <c r="E112" s="934">
        <v>350000</v>
      </c>
      <c r="F112" s="950">
        <f>E112/D112</f>
        <v>1</v>
      </c>
      <c r="K112"/>
    </row>
    <row r="113" spans="1:1025">
      <c r="A113" s="115"/>
      <c r="B113" s="1" t="s">
        <v>1354</v>
      </c>
      <c r="C113" s="893">
        <v>375000</v>
      </c>
      <c r="D113" s="915">
        <v>450000</v>
      </c>
      <c r="E113" s="934">
        <v>450000</v>
      </c>
      <c r="F113" s="950">
        <f>E113/D113</f>
        <v>1</v>
      </c>
      <c r="K113"/>
    </row>
    <row r="114" spans="1:1025">
      <c r="A114" s="115"/>
      <c r="C114" s="893"/>
      <c r="D114" s="915"/>
      <c r="E114" s="934"/>
      <c r="F114" s="950"/>
      <c r="K114"/>
    </row>
    <row r="115" spans="1:1025">
      <c r="A115" s="1034" t="s">
        <v>55</v>
      </c>
      <c r="B115" s="1036" t="s">
        <v>2086</v>
      </c>
      <c r="C115" s="893">
        <v>100000</v>
      </c>
      <c r="D115" s="921">
        <v>100000</v>
      </c>
      <c r="E115" s="1031">
        <v>0</v>
      </c>
      <c r="F115" s="950">
        <f>E115/D115</f>
        <v>0</v>
      </c>
      <c r="K115"/>
    </row>
    <row r="116" spans="1:1025">
      <c r="A116" s="115"/>
      <c r="C116" s="893"/>
      <c r="D116" s="915"/>
      <c r="E116" s="934"/>
      <c r="F116" s="950"/>
      <c r="K116"/>
    </row>
    <row r="117" spans="1:1025">
      <c r="A117" s="1034" t="s">
        <v>58</v>
      </c>
      <c r="B117" s="1035" t="s">
        <v>2087</v>
      </c>
      <c r="C117" s="897">
        <v>3027000</v>
      </c>
      <c r="D117" s="1030">
        <v>3027000</v>
      </c>
      <c r="E117" s="1032">
        <v>3027000</v>
      </c>
      <c r="F117" s="1033">
        <f>E117/D117</f>
        <v>1</v>
      </c>
      <c r="K117"/>
    </row>
    <row r="118" spans="1:1025" ht="15.75" customHeight="1">
      <c r="A118" s="2181" t="s">
        <v>2085</v>
      </c>
      <c r="B118" s="2181"/>
      <c r="C118" s="1852">
        <f>+C117+C115+C109+C107+C98</f>
        <v>16577000</v>
      </c>
      <c r="D118" s="1853">
        <f>+D117+D115+D109+D107+D98</f>
        <v>17018000</v>
      </c>
      <c r="E118" s="1854">
        <f>+E98+E107+E109+E117</f>
        <v>16918000</v>
      </c>
      <c r="F118" s="959">
        <f>E118/D118</f>
        <v>0.99412386884475257</v>
      </c>
    </row>
    <row r="119" spans="1:1025" ht="15.75" customHeight="1">
      <c r="A119" s="1035"/>
      <c r="B119" s="1035"/>
      <c r="C119" s="901"/>
      <c r="D119" s="923"/>
      <c r="E119" s="1358"/>
      <c r="F119" s="958"/>
    </row>
    <row r="120" spans="1:1025" ht="15.75" customHeight="1">
      <c r="A120" s="7"/>
      <c r="B120" s="14" t="s">
        <v>269</v>
      </c>
      <c r="C120" s="1359">
        <f>SUM(C89,C93,C118,C95)</f>
        <v>504785000</v>
      </c>
      <c r="D120" s="1360">
        <f>SUM(D89,D93,D118,D95)</f>
        <v>549509000</v>
      </c>
      <c r="E120" s="1361">
        <f>SUM(E89,E93,E118,E95)</f>
        <v>549291000</v>
      </c>
      <c r="F120" s="959">
        <f>E120/D120</f>
        <v>0.99960328220283923</v>
      </c>
    </row>
    <row r="121" spans="1:1025" ht="15.75" customHeight="1">
      <c r="A121" s="115"/>
      <c r="B121" s="215"/>
      <c r="C121" s="893"/>
      <c r="D121" s="915"/>
      <c r="E121" s="934"/>
      <c r="F121" s="950"/>
    </row>
    <row r="122" spans="1:1025">
      <c r="A122" s="162" t="s">
        <v>60</v>
      </c>
      <c r="B122" s="1" t="s">
        <v>270</v>
      </c>
      <c r="C122" s="893"/>
      <c r="D122" s="915"/>
      <c r="E122" s="934"/>
      <c r="F122" s="950"/>
    </row>
    <row r="123" spans="1:1025" s="115" customFormat="1">
      <c r="B123" s="1" t="s">
        <v>271</v>
      </c>
      <c r="C123" s="898">
        <v>276580000</v>
      </c>
      <c r="D123" s="920">
        <v>826955000</v>
      </c>
      <c r="E123" s="942">
        <v>0</v>
      </c>
      <c r="F123" s="952">
        <f>E123/D123</f>
        <v>0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  <c r="IV123" s="1"/>
      <c r="IW123" s="1"/>
      <c r="IX123" s="1"/>
      <c r="IY123" s="1"/>
      <c r="IZ123" s="1"/>
      <c r="JA123" s="1"/>
      <c r="JB123" s="1"/>
      <c r="JC123" s="1"/>
      <c r="JD123" s="1"/>
      <c r="JE123" s="1"/>
      <c r="JF123" s="1"/>
      <c r="JG123" s="1"/>
      <c r="JH123" s="1"/>
      <c r="JI123" s="1"/>
      <c r="JJ123" s="1"/>
      <c r="JK123" s="1"/>
      <c r="JL123" s="1"/>
      <c r="JM123" s="1"/>
      <c r="JN123" s="1"/>
      <c r="JO123" s="1"/>
      <c r="JP123" s="1"/>
      <c r="JQ123" s="1"/>
      <c r="JR123" s="1"/>
      <c r="JS123" s="1"/>
      <c r="JT123" s="1"/>
      <c r="JU123" s="1"/>
      <c r="JV123" s="1"/>
      <c r="JW123" s="1"/>
      <c r="JX123" s="1"/>
      <c r="JY123" s="1"/>
      <c r="JZ123" s="1"/>
      <c r="KA123" s="1"/>
      <c r="KB123" s="1"/>
      <c r="KC123" s="1"/>
      <c r="KD123" s="1"/>
      <c r="KE123" s="1"/>
      <c r="KF123" s="1"/>
      <c r="KG123" s="1"/>
      <c r="KH123" s="1"/>
      <c r="KI123" s="1"/>
      <c r="KJ123" s="1"/>
      <c r="KK123" s="1"/>
      <c r="KL123" s="1"/>
      <c r="KM123" s="1"/>
      <c r="KN123" s="1"/>
      <c r="KO123" s="1"/>
      <c r="KP123" s="1"/>
      <c r="KQ123" s="1"/>
      <c r="KR123" s="1"/>
      <c r="KS123" s="1"/>
      <c r="KT123" s="1"/>
      <c r="KU123" s="1"/>
      <c r="KV123" s="1"/>
      <c r="KW123" s="1"/>
      <c r="KX123" s="1"/>
      <c r="KY123" s="1"/>
      <c r="KZ123" s="1"/>
      <c r="LA123" s="1"/>
      <c r="LB123" s="1"/>
      <c r="LC123" s="1"/>
      <c r="LD123" s="1"/>
      <c r="LE123" s="1"/>
      <c r="LF123" s="1"/>
      <c r="LG123" s="1"/>
      <c r="LH123" s="1"/>
      <c r="LI123" s="1"/>
      <c r="LJ123" s="1"/>
      <c r="LK123" s="1"/>
      <c r="LL123" s="1"/>
      <c r="LM123" s="1"/>
      <c r="LN123" s="1"/>
      <c r="LO123" s="1"/>
      <c r="LP123" s="1"/>
      <c r="LQ123" s="1"/>
      <c r="LR123" s="1"/>
      <c r="LS123" s="1"/>
      <c r="LT123" s="1"/>
      <c r="LU123" s="1"/>
      <c r="LV123" s="1"/>
      <c r="LW123" s="1"/>
      <c r="LX123" s="1"/>
      <c r="LY123" s="1"/>
      <c r="LZ123" s="1"/>
      <c r="MA123" s="1"/>
      <c r="MB123" s="1"/>
      <c r="MC123" s="1"/>
      <c r="MD123" s="1"/>
      <c r="ME123" s="1"/>
      <c r="MF123" s="1"/>
      <c r="MG123" s="1"/>
      <c r="MH123" s="1"/>
      <c r="MI123" s="1"/>
      <c r="MJ123" s="1"/>
      <c r="MK123" s="1"/>
      <c r="ML123" s="1"/>
      <c r="MM123" s="1"/>
      <c r="MN123" s="1"/>
      <c r="MO123" s="1"/>
      <c r="MP123" s="1"/>
      <c r="MQ123" s="1"/>
      <c r="MR123" s="1"/>
      <c r="MS123" s="1"/>
      <c r="MT123" s="1"/>
      <c r="MU123" s="1"/>
      <c r="MV123" s="1"/>
      <c r="MW123" s="1"/>
      <c r="MX123" s="1"/>
      <c r="MY123" s="1"/>
      <c r="MZ123" s="1"/>
      <c r="NA123" s="1"/>
      <c r="NB123" s="1"/>
      <c r="NC123" s="1"/>
      <c r="ND123" s="1"/>
      <c r="NE123" s="1"/>
      <c r="NF123" s="1"/>
      <c r="NG123" s="1"/>
      <c r="NH123" s="1"/>
      <c r="NI123" s="1"/>
      <c r="NJ123" s="1"/>
      <c r="NK123" s="1"/>
      <c r="NL123" s="1"/>
      <c r="NM123" s="1"/>
      <c r="NN123" s="1"/>
      <c r="NO123" s="1"/>
      <c r="NP123" s="1"/>
      <c r="NQ123" s="1"/>
      <c r="NR123" s="1"/>
      <c r="NS123" s="1"/>
      <c r="NT123" s="1"/>
      <c r="NU123" s="1"/>
      <c r="NV123" s="1"/>
      <c r="NW123" s="1"/>
      <c r="NX123" s="1"/>
      <c r="NY123" s="1"/>
      <c r="NZ123" s="1"/>
      <c r="OA123" s="1"/>
      <c r="OB123" s="1"/>
      <c r="OC123" s="1"/>
      <c r="OD123" s="1"/>
      <c r="OE123" s="1"/>
      <c r="OF123" s="1"/>
      <c r="OG123" s="1"/>
      <c r="OH123" s="1"/>
      <c r="OI123" s="1"/>
      <c r="OJ123" s="1"/>
      <c r="OK123" s="1"/>
      <c r="OL123" s="1"/>
      <c r="OM123" s="1"/>
      <c r="ON123" s="1"/>
      <c r="OO123" s="1"/>
      <c r="OP123" s="1"/>
      <c r="OQ123" s="1"/>
      <c r="OR123" s="1"/>
      <c r="OS123" s="1"/>
      <c r="OT123" s="1"/>
      <c r="OU123" s="1"/>
      <c r="OV123" s="1"/>
      <c r="OW123" s="1"/>
      <c r="OX123" s="1"/>
      <c r="OY123" s="1"/>
      <c r="OZ123" s="1"/>
      <c r="PA123" s="1"/>
      <c r="PB123" s="1"/>
      <c r="PC123" s="1"/>
      <c r="PD123" s="1"/>
      <c r="PE123" s="1"/>
      <c r="PF123" s="1"/>
      <c r="PG123" s="1"/>
      <c r="PH123" s="1"/>
      <c r="PI123" s="1"/>
      <c r="PJ123" s="1"/>
      <c r="PK123" s="1"/>
      <c r="PL123" s="1"/>
      <c r="PM123" s="1"/>
      <c r="PN123" s="1"/>
      <c r="PO123" s="1"/>
      <c r="PP123" s="1"/>
      <c r="PQ123" s="1"/>
      <c r="PR123" s="1"/>
      <c r="PS123" s="1"/>
      <c r="PT123" s="1"/>
      <c r="PU123" s="1"/>
      <c r="PV123" s="1"/>
      <c r="PW123" s="1"/>
      <c r="PX123" s="1"/>
      <c r="PY123" s="1"/>
      <c r="PZ123" s="1"/>
      <c r="QA123" s="1"/>
      <c r="QB123" s="1"/>
      <c r="QC123" s="1"/>
      <c r="QD123" s="1"/>
      <c r="QE123" s="1"/>
      <c r="QF123" s="1"/>
      <c r="QG123" s="1"/>
      <c r="QH123" s="1"/>
      <c r="QI123" s="1"/>
      <c r="QJ123" s="1"/>
      <c r="QK123" s="1"/>
      <c r="QL123" s="1"/>
      <c r="QM123" s="1"/>
      <c r="QN123" s="1"/>
      <c r="QO123" s="1"/>
      <c r="QP123" s="1"/>
      <c r="QQ123" s="1"/>
      <c r="QR123" s="1"/>
      <c r="QS123" s="1"/>
      <c r="QT123" s="1"/>
      <c r="QU123" s="1"/>
      <c r="QV123" s="1"/>
      <c r="QW123" s="1"/>
      <c r="QX123" s="1"/>
      <c r="QY123" s="1"/>
      <c r="QZ123" s="1"/>
      <c r="RA123" s="1"/>
      <c r="RB123" s="1"/>
      <c r="RC123" s="1"/>
      <c r="RD123" s="1"/>
      <c r="RE123" s="1"/>
      <c r="RF123" s="1"/>
      <c r="RG123" s="1"/>
      <c r="RH123" s="1"/>
      <c r="RI123" s="1"/>
      <c r="RJ123" s="1"/>
      <c r="RK123" s="1"/>
      <c r="RL123" s="1"/>
      <c r="RM123" s="1"/>
      <c r="RN123" s="1"/>
      <c r="RO123" s="1"/>
      <c r="RP123" s="1"/>
      <c r="RQ123" s="1"/>
      <c r="RR123" s="1"/>
      <c r="RS123" s="1"/>
      <c r="RT123" s="1"/>
      <c r="RU123" s="1"/>
      <c r="RV123" s="1"/>
      <c r="RW123" s="1"/>
      <c r="RX123" s="1"/>
      <c r="RY123" s="1"/>
      <c r="RZ123" s="1"/>
      <c r="SA123" s="1"/>
      <c r="SB123" s="1"/>
      <c r="SC123" s="1"/>
      <c r="SD123" s="1"/>
      <c r="SE123" s="1"/>
      <c r="SF123" s="1"/>
      <c r="SG123" s="1"/>
      <c r="SH123" s="1"/>
      <c r="SI123" s="1"/>
      <c r="SJ123" s="1"/>
      <c r="SK123" s="1"/>
      <c r="SL123" s="1"/>
      <c r="SM123" s="1"/>
      <c r="SN123" s="1"/>
      <c r="SO123" s="1"/>
      <c r="SP123" s="1"/>
      <c r="SQ123" s="1"/>
      <c r="SR123" s="1"/>
      <c r="SS123" s="1"/>
      <c r="ST123" s="1"/>
      <c r="SU123" s="1"/>
      <c r="SV123" s="1"/>
      <c r="SW123" s="1"/>
      <c r="SX123" s="1"/>
      <c r="SY123" s="1"/>
      <c r="SZ123" s="1"/>
      <c r="TA123" s="1"/>
      <c r="TB123" s="1"/>
      <c r="TC123" s="1"/>
      <c r="TD123" s="1"/>
      <c r="TE123" s="1"/>
      <c r="TF123" s="1"/>
      <c r="TG123" s="1"/>
      <c r="TH123" s="1"/>
      <c r="TI123" s="1"/>
      <c r="TJ123" s="1"/>
      <c r="TK123" s="1"/>
      <c r="TL123" s="1"/>
      <c r="TM123" s="1"/>
      <c r="TN123" s="1"/>
      <c r="TO123" s="1"/>
      <c r="TP123" s="1"/>
      <c r="TQ123" s="1"/>
      <c r="TR123" s="1"/>
      <c r="TS123" s="1"/>
      <c r="TT123" s="1"/>
      <c r="TU123" s="1"/>
      <c r="TV123" s="1"/>
      <c r="TW123" s="1"/>
      <c r="TX123" s="1"/>
      <c r="TY123" s="1"/>
      <c r="TZ123" s="1"/>
      <c r="UA123" s="1"/>
      <c r="UB123" s="1"/>
      <c r="UC123" s="1"/>
      <c r="UD123" s="1"/>
      <c r="UE123" s="1"/>
      <c r="UF123" s="1"/>
      <c r="UG123" s="1"/>
      <c r="UH123" s="1"/>
      <c r="UI123" s="1"/>
      <c r="UJ123" s="1"/>
      <c r="UK123" s="1"/>
      <c r="UL123" s="1"/>
      <c r="UM123" s="1"/>
      <c r="UN123" s="1"/>
      <c r="UO123" s="1"/>
      <c r="UP123" s="1"/>
      <c r="UQ123" s="1"/>
      <c r="UR123" s="1"/>
      <c r="US123" s="1"/>
      <c r="UT123" s="1"/>
      <c r="UU123" s="1"/>
      <c r="UV123" s="1"/>
      <c r="UW123" s="1"/>
      <c r="UX123" s="1"/>
      <c r="UY123" s="1"/>
      <c r="UZ123" s="1"/>
      <c r="VA123" s="1"/>
      <c r="VB123" s="1"/>
      <c r="VC123" s="1"/>
      <c r="VD123" s="1"/>
      <c r="VE123" s="1"/>
      <c r="VF123" s="1"/>
      <c r="VG123" s="1"/>
      <c r="VH123" s="1"/>
      <c r="VI123" s="1"/>
      <c r="VJ123" s="1"/>
      <c r="VK123" s="1"/>
      <c r="VL123" s="1"/>
      <c r="VM123" s="1"/>
      <c r="VN123" s="1"/>
      <c r="VO123" s="1"/>
      <c r="VP123" s="1"/>
      <c r="VQ123" s="1"/>
      <c r="VR123" s="1"/>
      <c r="VS123" s="1"/>
      <c r="VT123" s="1"/>
      <c r="VU123" s="1"/>
      <c r="VV123" s="1"/>
      <c r="VW123" s="1"/>
      <c r="VX123" s="1"/>
      <c r="VY123" s="1"/>
      <c r="VZ123" s="1"/>
      <c r="WA123" s="1"/>
      <c r="WB123" s="1"/>
      <c r="WC123" s="1"/>
      <c r="WD123" s="1"/>
      <c r="WE123" s="1"/>
      <c r="WF123" s="1"/>
      <c r="WG123" s="1"/>
      <c r="WH123" s="1"/>
      <c r="WI123" s="1"/>
      <c r="WJ123" s="1"/>
      <c r="WK123" s="1"/>
      <c r="WL123" s="1"/>
      <c r="WM123" s="1"/>
      <c r="WN123" s="1"/>
      <c r="WO123" s="1"/>
      <c r="WP123" s="1"/>
      <c r="WQ123" s="1"/>
      <c r="WR123" s="1"/>
      <c r="WS123" s="1"/>
      <c r="WT123" s="1"/>
      <c r="WU123" s="1"/>
      <c r="WV123" s="1"/>
      <c r="WW123" s="1"/>
      <c r="WX123" s="1"/>
      <c r="WY123" s="1"/>
      <c r="WZ123" s="1"/>
      <c r="XA123" s="1"/>
      <c r="XB123" s="1"/>
      <c r="XC123" s="1"/>
      <c r="XD123" s="1"/>
      <c r="XE123" s="1"/>
      <c r="XF123" s="1"/>
      <c r="XG123" s="1"/>
      <c r="XH123" s="1"/>
      <c r="XI123" s="1"/>
      <c r="XJ123" s="1"/>
      <c r="XK123" s="1"/>
      <c r="XL123" s="1"/>
      <c r="XM123" s="1"/>
      <c r="XN123" s="1"/>
      <c r="XO123" s="1"/>
      <c r="XP123" s="1"/>
      <c r="XQ123" s="1"/>
      <c r="XR123" s="1"/>
      <c r="XS123" s="1"/>
      <c r="XT123" s="1"/>
      <c r="XU123" s="1"/>
      <c r="XV123" s="1"/>
      <c r="XW123" s="1"/>
      <c r="XX123" s="1"/>
      <c r="XY123" s="1"/>
      <c r="XZ123" s="1"/>
      <c r="YA123" s="1"/>
      <c r="YB123" s="1"/>
      <c r="YC123" s="1"/>
      <c r="YD123" s="1"/>
      <c r="YE123" s="1"/>
      <c r="YF123" s="1"/>
      <c r="YG123" s="1"/>
      <c r="YH123" s="1"/>
      <c r="YI123" s="1"/>
      <c r="YJ123" s="1"/>
      <c r="YK123" s="1"/>
      <c r="YL123" s="1"/>
      <c r="YM123" s="1"/>
      <c r="YN123" s="1"/>
      <c r="YO123" s="1"/>
      <c r="YP123" s="1"/>
      <c r="YQ123" s="1"/>
      <c r="YR123" s="1"/>
      <c r="YS123" s="1"/>
      <c r="YT123" s="1"/>
      <c r="YU123" s="1"/>
      <c r="YV123" s="1"/>
      <c r="YW123" s="1"/>
      <c r="YX123" s="1"/>
      <c r="YY123" s="1"/>
      <c r="YZ123" s="1"/>
      <c r="ZA123" s="1"/>
      <c r="ZB123" s="1"/>
      <c r="ZC123" s="1"/>
      <c r="ZD123" s="1"/>
      <c r="ZE123" s="1"/>
      <c r="ZF123" s="1"/>
      <c r="ZG123" s="1"/>
      <c r="ZH123" s="1"/>
      <c r="ZI123" s="1"/>
      <c r="ZJ123" s="1"/>
      <c r="ZK123" s="1"/>
      <c r="ZL123" s="1"/>
      <c r="ZM123" s="1"/>
      <c r="ZN123" s="1"/>
      <c r="ZO123" s="1"/>
      <c r="ZP123" s="1"/>
      <c r="ZQ123" s="1"/>
      <c r="ZR123" s="1"/>
      <c r="ZS123" s="1"/>
      <c r="ZT123" s="1"/>
      <c r="ZU123" s="1"/>
      <c r="ZV123" s="1"/>
      <c r="ZW123" s="1"/>
      <c r="ZX123" s="1"/>
      <c r="ZY123" s="1"/>
      <c r="ZZ123" s="1"/>
      <c r="AAA123" s="1"/>
      <c r="AAB123" s="1"/>
      <c r="AAC123" s="1"/>
      <c r="AAD123" s="1"/>
      <c r="AAE123" s="1"/>
      <c r="AAF123" s="1"/>
      <c r="AAG123" s="1"/>
      <c r="AAH123" s="1"/>
      <c r="AAI123" s="1"/>
      <c r="AAJ123" s="1"/>
      <c r="AAK123" s="1"/>
      <c r="AAL123" s="1"/>
      <c r="AAM123" s="1"/>
      <c r="AAN123" s="1"/>
      <c r="AAO123" s="1"/>
      <c r="AAP123" s="1"/>
      <c r="AAQ123" s="1"/>
      <c r="AAR123" s="1"/>
      <c r="AAS123" s="1"/>
      <c r="AAT123" s="1"/>
      <c r="AAU123" s="1"/>
      <c r="AAV123" s="1"/>
      <c r="AAW123" s="1"/>
      <c r="AAX123" s="1"/>
      <c r="AAY123" s="1"/>
      <c r="AAZ123" s="1"/>
      <c r="ABA123" s="1"/>
      <c r="ABB123" s="1"/>
      <c r="ABC123" s="1"/>
      <c r="ABD123" s="1"/>
      <c r="ABE123" s="1"/>
      <c r="ABF123" s="1"/>
      <c r="ABG123" s="1"/>
      <c r="ABH123" s="1"/>
      <c r="ABI123" s="1"/>
      <c r="ABJ123" s="1"/>
      <c r="ABK123" s="1"/>
      <c r="ABL123" s="1"/>
      <c r="ABM123" s="1"/>
      <c r="ABN123" s="1"/>
      <c r="ABO123" s="1"/>
      <c r="ABP123" s="1"/>
      <c r="ABQ123" s="1"/>
      <c r="ABR123" s="1"/>
      <c r="ABS123" s="1"/>
      <c r="ABT123" s="1"/>
      <c r="ABU123" s="1"/>
      <c r="ABV123" s="1"/>
      <c r="ABW123" s="1"/>
      <c r="ABX123" s="1"/>
      <c r="ABY123" s="1"/>
      <c r="ABZ123" s="1"/>
      <c r="ACA123" s="1"/>
      <c r="ACB123" s="1"/>
      <c r="ACC123" s="1"/>
      <c r="ACD123" s="1"/>
      <c r="ACE123" s="1"/>
      <c r="ACF123" s="1"/>
      <c r="ACG123" s="1"/>
      <c r="ACH123" s="1"/>
      <c r="ACI123" s="1"/>
      <c r="ACJ123" s="1"/>
      <c r="ACK123" s="1"/>
      <c r="ACL123" s="1"/>
      <c r="ACM123" s="1"/>
      <c r="ACN123" s="1"/>
      <c r="ACO123" s="1"/>
      <c r="ACP123" s="1"/>
      <c r="ACQ123" s="1"/>
      <c r="ACR123" s="1"/>
      <c r="ACS123" s="1"/>
      <c r="ACT123" s="1"/>
      <c r="ACU123" s="1"/>
      <c r="ACV123" s="1"/>
      <c r="ACW123" s="1"/>
      <c r="ACX123" s="1"/>
      <c r="ACY123" s="1"/>
      <c r="ACZ123" s="1"/>
      <c r="ADA123" s="1"/>
      <c r="ADB123" s="1"/>
      <c r="ADC123" s="1"/>
      <c r="ADD123" s="1"/>
      <c r="ADE123" s="1"/>
      <c r="ADF123" s="1"/>
      <c r="ADG123" s="1"/>
      <c r="ADH123" s="1"/>
      <c r="ADI123" s="1"/>
      <c r="ADJ123" s="1"/>
      <c r="ADK123" s="1"/>
      <c r="ADL123" s="1"/>
      <c r="ADM123" s="1"/>
      <c r="ADN123" s="1"/>
      <c r="ADO123" s="1"/>
      <c r="ADP123" s="1"/>
      <c r="ADQ123" s="1"/>
      <c r="ADR123" s="1"/>
      <c r="ADS123" s="1"/>
      <c r="ADT123" s="1"/>
      <c r="ADU123" s="1"/>
      <c r="ADV123" s="1"/>
      <c r="ADW123" s="1"/>
      <c r="ADX123" s="1"/>
      <c r="ADY123" s="1"/>
      <c r="ADZ123" s="1"/>
      <c r="AEA123" s="1"/>
      <c r="AEB123" s="1"/>
      <c r="AEC123" s="1"/>
      <c r="AED123" s="1"/>
      <c r="AEE123" s="1"/>
      <c r="AEF123" s="1"/>
      <c r="AEG123" s="1"/>
      <c r="AEH123" s="1"/>
      <c r="AEI123" s="1"/>
      <c r="AEJ123" s="1"/>
      <c r="AEK123" s="1"/>
      <c r="AEL123" s="1"/>
      <c r="AEM123" s="1"/>
      <c r="AEN123" s="1"/>
      <c r="AEO123" s="1"/>
      <c r="AEP123" s="1"/>
      <c r="AEQ123" s="1"/>
      <c r="AER123" s="1"/>
      <c r="AES123" s="1"/>
      <c r="AET123" s="1"/>
      <c r="AEU123" s="1"/>
      <c r="AEV123" s="1"/>
      <c r="AEW123" s="1"/>
      <c r="AEX123" s="1"/>
      <c r="AEY123" s="1"/>
      <c r="AEZ123" s="1"/>
      <c r="AFA123" s="1"/>
      <c r="AFB123" s="1"/>
      <c r="AFC123" s="1"/>
      <c r="AFD123" s="1"/>
      <c r="AFE123" s="1"/>
      <c r="AFF123" s="1"/>
      <c r="AFG123" s="1"/>
      <c r="AFH123" s="1"/>
      <c r="AFI123" s="1"/>
      <c r="AFJ123" s="1"/>
      <c r="AFK123" s="1"/>
      <c r="AFL123" s="1"/>
      <c r="AFM123" s="1"/>
      <c r="AFN123" s="1"/>
      <c r="AFO123" s="1"/>
      <c r="AFP123" s="1"/>
      <c r="AFQ123" s="1"/>
      <c r="AFR123" s="1"/>
      <c r="AFS123" s="1"/>
      <c r="AFT123" s="1"/>
      <c r="AFU123" s="1"/>
      <c r="AFV123" s="1"/>
      <c r="AFW123" s="1"/>
      <c r="AFX123" s="1"/>
      <c r="AFY123" s="1"/>
      <c r="AFZ123" s="1"/>
      <c r="AGA123" s="1"/>
      <c r="AGB123" s="1"/>
      <c r="AGC123" s="1"/>
      <c r="AGD123" s="1"/>
      <c r="AGE123" s="1"/>
      <c r="AGF123" s="1"/>
      <c r="AGG123" s="1"/>
      <c r="AGH123" s="1"/>
      <c r="AGI123" s="1"/>
      <c r="AGJ123" s="1"/>
      <c r="AGK123" s="1"/>
      <c r="AGL123" s="1"/>
      <c r="AGM123" s="1"/>
      <c r="AGN123" s="1"/>
      <c r="AGO123" s="1"/>
      <c r="AGP123" s="1"/>
      <c r="AGQ123" s="1"/>
      <c r="AGR123" s="1"/>
      <c r="AGS123" s="1"/>
      <c r="AGT123" s="1"/>
      <c r="AGU123" s="1"/>
      <c r="AGV123" s="1"/>
      <c r="AGW123" s="1"/>
      <c r="AGX123" s="1"/>
      <c r="AGY123" s="1"/>
      <c r="AGZ123" s="1"/>
      <c r="AHA123" s="1"/>
      <c r="AHB123" s="1"/>
      <c r="AHC123" s="1"/>
      <c r="AHD123" s="1"/>
      <c r="AHE123" s="1"/>
      <c r="AHF123" s="1"/>
      <c r="AHG123" s="1"/>
      <c r="AHH123" s="1"/>
      <c r="AHI123" s="1"/>
      <c r="AHJ123" s="1"/>
      <c r="AHK123" s="1"/>
      <c r="AHL123" s="1"/>
      <c r="AHM123" s="1"/>
      <c r="AHN123" s="1"/>
      <c r="AHO123" s="1"/>
      <c r="AHP123" s="1"/>
      <c r="AHQ123" s="1"/>
      <c r="AHR123" s="1"/>
      <c r="AHS123" s="1"/>
      <c r="AHT123" s="1"/>
      <c r="AHU123" s="1"/>
      <c r="AHV123" s="1"/>
      <c r="AHW123" s="1"/>
      <c r="AHX123" s="1"/>
      <c r="AHY123" s="1"/>
      <c r="AHZ123" s="1"/>
      <c r="AIA123" s="1"/>
      <c r="AIB123" s="1"/>
      <c r="AIC123" s="1"/>
      <c r="AID123" s="1"/>
      <c r="AIE123" s="1"/>
      <c r="AIF123" s="1"/>
      <c r="AIG123" s="1"/>
      <c r="AIH123" s="1"/>
      <c r="AII123" s="1"/>
      <c r="AIJ123" s="1"/>
      <c r="AIK123" s="1"/>
      <c r="AIL123" s="1"/>
      <c r="AIM123" s="1"/>
      <c r="AIN123" s="1"/>
      <c r="AIO123" s="1"/>
      <c r="AIP123" s="1"/>
      <c r="AIQ123" s="1"/>
      <c r="AIR123" s="1"/>
      <c r="AIS123" s="1"/>
      <c r="AIT123" s="1"/>
      <c r="AIU123" s="1"/>
      <c r="AIV123" s="1"/>
      <c r="AIW123" s="1"/>
      <c r="AIX123" s="1"/>
      <c r="AIY123" s="1"/>
      <c r="AIZ123" s="1"/>
      <c r="AJA123" s="1"/>
      <c r="AJB123" s="1"/>
      <c r="AJC123" s="1"/>
      <c r="AJD123" s="1"/>
      <c r="AJE123" s="1"/>
      <c r="AJF123" s="1"/>
      <c r="AJG123" s="1"/>
      <c r="AJH123" s="1"/>
      <c r="AJI123" s="1"/>
      <c r="AJJ123" s="1"/>
      <c r="AJK123" s="1"/>
      <c r="AJL123" s="1"/>
      <c r="AJM123" s="1"/>
      <c r="AJN123" s="1"/>
      <c r="AJO123" s="1"/>
      <c r="AJP123" s="1"/>
      <c r="AJQ123" s="1"/>
      <c r="AJR123" s="1"/>
      <c r="AJS123" s="1"/>
      <c r="AJT123" s="1"/>
      <c r="AJU123" s="1"/>
      <c r="AJV123" s="1"/>
      <c r="AJW123" s="1"/>
      <c r="AJX123" s="1"/>
      <c r="AJY123" s="1"/>
      <c r="AJZ123" s="1"/>
      <c r="AKA123" s="1"/>
      <c r="AKB123" s="1"/>
      <c r="AKC123" s="1"/>
      <c r="AKD123" s="1"/>
      <c r="AKE123" s="1"/>
      <c r="AKF123" s="1"/>
      <c r="AKG123" s="1"/>
      <c r="AKH123" s="1"/>
      <c r="AKI123" s="1"/>
      <c r="AKJ123" s="1"/>
      <c r="AKK123" s="1"/>
      <c r="AKL123" s="1"/>
      <c r="AKM123" s="1"/>
      <c r="AKN123" s="1"/>
      <c r="AKO123" s="1"/>
      <c r="AKP123" s="1"/>
      <c r="AKQ123" s="1"/>
      <c r="AKR123" s="1"/>
      <c r="AKS123" s="1"/>
      <c r="AKT123" s="1"/>
      <c r="AKU123" s="1"/>
      <c r="AKV123" s="1"/>
      <c r="AKW123" s="1"/>
      <c r="AKX123" s="1"/>
      <c r="AKY123" s="1"/>
      <c r="AKZ123" s="1"/>
      <c r="ALA123" s="1"/>
      <c r="ALB123" s="1"/>
      <c r="ALC123" s="1"/>
      <c r="ALD123" s="1"/>
      <c r="ALE123" s="1"/>
      <c r="ALF123" s="1"/>
      <c r="ALG123" s="1"/>
      <c r="ALH123" s="1"/>
      <c r="ALI123" s="1"/>
      <c r="ALJ123" s="1"/>
      <c r="ALK123" s="1"/>
      <c r="ALL123" s="1"/>
      <c r="ALM123" s="1"/>
      <c r="ALN123" s="1"/>
      <c r="ALO123" s="1"/>
      <c r="ALP123" s="1"/>
      <c r="ALQ123" s="1"/>
      <c r="ALR123" s="1"/>
      <c r="ALS123" s="1"/>
      <c r="ALT123" s="1"/>
      <c r="ALU123" s="1"/>
      <c r="ALV123" s="1"/>
      <c r="ALW123" s="1"/>
      <c r="ALX123" s="1"/>
      <c r="ALY123" s="1"/>
      <c r="ALZ123" s="1"/>
      <c r="AMA123" s="1"/>
      <c r="AMB123" s="1"/>
      <c r="AMC123" s="1"/>
      <c r="AMD123" s="1"/>
      <c r="AME123" s="1"/>
      <c r="AMF123" s="1"/>
      <c r="AMG123" s="1"/>
      <c r="AMH123" s="1"/>
      <c r="AMI123" s="1"/>
      <c r="AMJ123" s="1"/>
      <c r="AMK123" s="1"/>
    </row>
    <row r="124" spans="1:1025">
      <c r="A124" s="115"/>
      <c r="B124" s="1" t="s">
        <v>272</v>
      </c>
      <c r="C124" s="893"/>
      <c r="D124" s="915"/>
      <c r="E124" s="935"/>
      <c r="F124" s="950"/>
    </row>
    <row r="125" spans="1:1025">
      <c r="A125" s="115"/>
      <c r="B125" s="11" t="s">
        <v>2216</v>
      </c>
      <c r="C125" s="893">
        <v>6101000</v>
      </c>
      <c r="D125" s="915">
        <v>6101000</v>
      </c>
      <c r="E125" s="935">
        <v>0</v>
      </c>
      <c r="F125" s="950">
        <f>E125/D125</f>
        <v>0</v>
      </c>
    </row>
    <row r="126" spans="1:1025">
      <c r="A126" s="115"/>
      <c r="B126" s="11" t="s">
        <v>273</v>
      </c>
      <c r="C126" s="893">
        <v>1000000</v>
      </c>
      <c r="D126" s="915">
        <v>1000000</v>
      </c>
      <c r="E126" s="935">
        <v>0</v>
      </c>
      <c r="F126" s="950">
        <f>E126/D126</f>
        <v>0</v>
      </c>
    </row>
    <row r="127" spans="1:1025">
      <c r="A127" s="115"/>
      <c r="B127" s="11" t="s">
        <v>274</v>
      </c>
      <c r="C127" s="893">
        <v>407000</v>
      </c>
      <c r="D127" s="915">
        <v>407000</v>
      </c>
      <c r="E127" s="935">
        <v>0</v>
      </c>
      <c r="F127" s="950">
        <f>E127/D127</f>
        <v>0</v>
      </c>
    </row>
    <row r="128" spans="1:1025">
      <c r="A128" s="115"/>
      <c r="B128" s="11" t="s">
        <v>1355</v>
      </c>
      <c r="C128" s="893">
        <v>10000000</v>
      </c>
      <c r="D128" s="917">
        <v>0</v>
      </c>
      <c r="E128" s="935">
        <v>0</v>
      </c>
      <c r="F128" s="950">
        <v>0</v>
      </c>
    </row>
    <row r="129" spans="1:1025">
      <c r="A129" s="115"/>
      <c r="B129" s="11" t="s">
        <v>275</v>
      </c>
      <c r="C129" s="893">
        <v>40000000</v>
      </c>
      <c r="D129" s="915">
        <v>40000000</v>
      </c>
      <c r="E129" s="935">
        <v>0</v>
      </c>
      <c r="F129" s="950">
        <v>0</v>
      </c>
    </row>
    <row r="130" spans="1:1025">
      <c r="A130" s="115"/>
      <c r="B130" s="1029" t="s">
        <v>2084</v>
      </c>
      <c r="C130" s="893">
        <v>50000000</v>
      </c>
      <c r="D130" s="915">
        <v>6000000</v>
      </c>
      <c r="E130" s="935"/>
      <c r="F130" s="950"/>
    </row>
    <row r="131" spans="1:1025">
      <c r="A131" s="115"/>
      <c r="B131" s="11" t="s">
        <v>1750</v>
      </c>
      <c r="C131" s="907">
        <v>20000000</v>
      </c>
      <c r="D131" s="919">
        <v>20000000</v>
      </c>
      <c r="E131" s="943">
        <v>0</v>
      </c>
      <c r="F131" s="950">
        <v>0</v>
      </c>
    </row>
    <row r="132" spans="1:1025">
      <c r="A132" s="115"/>
      <c r="B132" s="68" t="s">
        <v>276</v>
      </c>
      <c r="C132" s="908">
        <f>SUM(C125:C131)</f>
        <v>127508000</v>
      </c>
      <c r="D132" s="928">
        <f>SUM(D125:D131)</f>
        <v>73508000</v>
      </c>
      <c r="E132" s="944">
        <v>0</v>
      </c>
      <c r="F132" s="954">
        <f>E132/D132</f>
        <v>0</v>
      </c>
    </row>
    <row r="133" spans="1:1025">
      <c r="A133" s="115"/>
      <c r="B133" s="8" t="s">
        <v>277</v>
      </c>
      <c r="C133" s="909">
        <f>SUM(C123,C132)</f>
        <v>404088000</v>
      </c>
      <c r="D133" s="929">
        <f>SUM(D123,D132)</f>
        <v>900463000</v>
      </c>
      <c r="E133" s="945">
        <f>SUM(E123,E132)</f>
        <v>0</v>
      </c>
      <c r="F133" s="958">
        <f>E133/D133</f>
        <v>0</v>
      </c>
    </row>
    <row r="134" spans="1:1025">
      <c r="A134" s="115"/>
      <c r="B134" s="115"/>
      <c r="C134" s="893"/>
      <c r="D134" s="915"/>
      <c r="E134" s="934"/>
      <c r="F134" s="950"/>
    </row>
    <row r="135" spans="1:1025">
      <c r="A135" s="1009"/>
      <c r="B135" s="1010" t="s">
        <v>278</v>
      </c>
      <c r="C135" s="910">
        <f>SUM(C120,C123,C132)</f>
        <v>908873000</v>
      </c>
      <c r="D135" s="930">
        <f>SUM(D120,D123,D132)</f>
        <v>1449972000</v>
      </c>
      <c r="E135" s="946">
        <f>SUM(E120,E123,E132)</f>
        <v>549291000</v>
      </c>
      <c r="F135" s="960">
        <f>E135/D135</f>
        <v>0.37882869462306856</v>
      </c>
    </row>
    <row r="136" spans="1:1025">
      <c r="A136" s="211"/>
      <c r="B136" s="115"/>
      <c r="C136" s="893"/>
      <c r="D136" s="915"/>
      <c r="E136" s="934"/>
      <c r="F136" s="950"/>
    </row>
    <row r="137" spans="1:1025">
      <c r="A137" s="211"/>
      <c r="B137" s="115"/>
      <c r="C137" s="893"/>
      <c r="D137" s="915"/>
      <c r="E137" s="934"/>
      <c r="F137" s="950"/>
    </row>
    <row r="138" spans="1:1025">
      <c r="A138" s="115"/>
      <c r="B138" s="115"/>
      <c r="C138" s="893"/>
      <c r="D138" s="915"/>
      <c r="E138" s="934"/>
      <c r="F138" s="950"/>
    </row>
    <row r="139" spans="1:1025">
      <c r="A139" s="2178" t="s">
        <v>279</v>
      </c>
      <c r="B139" s="2178"/>
      <c r="C139" s="900">
        <f>C30+C37+C79+C85+C135</f>
        <v>1477679000</v>
      </c>
      <c r="D139" s="922">
        <f>D30+D37+D79+D85+D135</f>
        <v>2065668000</v>
      </c>
      <c r="E139" s="890">
        <f>E30+E37+E79+E85+E135</f>
        <v>955625303</v>
      </c>
      <c r="F139" s="953">
        <f>E139/D139</f>
        <v>0.46262289148110924</v>
      </c>
    </row>
    <row r="140" spans="1:1025">
      <c r="A140" s="115"/>
      <c r="B140" s="115"/>
      <c r="C140" s="893"/>
      <c r="D140" s="915"/>
      <c r="E140" s="934"/>
      <c r="F140" s="950"/>
    </row>
    <row r="141" spans="1:1025" s="738" customFormat="1">
      <c r="A141" s="2174" t="s">
        <v>280</v>
      </c>
      <c r="B141" s="2174"/>
      <c r="C141" s="2174"/>
      <c r="D141" s="2174"/>
      <c r="E141" s="2174"/>
      <c r="F141" s="2174"/>
      <c r="G141" s="737"/>
      <c r="H141" s="737"/>
      <c r="I141" s="737"/>
      <c r="J141" s="737"/>
      <c r="K141" s="737"/>
      <c r="L141" s="737"/>
      <c r="M141" s="737"/>
      <c r="N141" s="737"/>
      <c r="O141" s="737"/>
      <c r="P141" s="737"/>
      <c r="Q141" s="737"/>
      <c r="R141" s="737"/>
      <c r="S141" s="737"/>
      <c r="T141" s="737"/>
      <c r="U141" s="737"/>
      <c r="V141" s="737"/>
      <c r="W141" s="737"/>
      <c r="X141" s="737"/>
      <c r="Y141" s="737"/>
      <c r="Z141" s="737"/>
      <c r="AA141" s="737"/>
      <c r="AB141" s="737"/>
      <c r="AC141" s="737"/>
      <c r="AD141" s="737"/>
      <c r="AE141" s="737"/>
      <c r="AF141" s="737"/>
      <c r="AG141" s="737"/>
      <c r="AH141" s="737"/>
      <c r="AI141" s="737"/>
      <c r="AJ141" s="737"/>
      <c r="AK141" s="737"/>
      <c r="AL141" s="737"/>
      <c r="AM141" s="737"/>
      <c r="AN141" s="737"/>
      <c r="AO141" s="737"/>
      <c r="AP141" s="737"/>
      <c r="AQ141" s="737"/>
      <c r="AR141" s="737"/>
      <c r="AS141" s="737"/>
      <c r="AT141" s="737"/>
      <c r="AU141" s="737"/>
      <c r="AV141" s="737"/>
      <c r="AW141" s="737"/>
      <c r="AX141" s="737"/>
      <c r="AY141" s="737"/>
      <c r="AZ141" s="737"/>
      <c r="BA141" s="737"/>
      <c r="BB141" s="737"/>
      <c r="BC141" s="737"/>
      <c r="BD141" s="737"/>
      <c r="BE141" s="737"/>
      <c r="BF141" s="737"/>
      <c r="BG141" s="737"/>
      <c r="BH141" s="737"/>
      <c r="BI141" s="737"/>
      <c r="BJ141" s="737"/>
      <c r="BK141" s="737"/>
      <c r="BL141" s="737"/>
      <c r="BM141" s="737"/>
      <c r="BN141" s="737"/>
      <c r="BO141" s="737"/>
      <c r="BP141" s="737"/>
      <c r="BQ141" s="737"/>
      <c r="BR141" s="737"/>
      <c r="BS141" s="737"/>
      <c r="BT141" s="737"/>
      <c r="BU141" s="737"/>
      <c r="BV141" s="737"/>
      <c r="BW141" s="737"/>
      <c r="BX141" s="737"/>
      <c r="BY141" s="737"/>
      <c r="BZ141" s="737"/>
      <c r="CA141" s="737"/>
      <c r="CB141" s="737"/>
      <c r="CC141" s="737"/>
      <c r="CD141" s="737"/>
      <c r="CE141" s="737"/>
      <c r="CF141" s="737"/>
      <c r="CG141" s="737"/>
      <c r="CH141" s="737"/>
      <c r="CI141" s="737"/>
      <c r="CJ141" s="737"/>
      <c r="CK141" s="737"/>
      <c r="CL141" s="737"/>
      <c r="CM141" s="737"/>
      <c r="CN141" s="737"/>
      <c r="CO141" s="737"/>
      <c r="CP141" s="737"/>
      <c r="CQ141" s="737"/>
      <c r="CR141" s="737"/>
      <c r="CS141" s="737"/>
      <c r="CT141" s="737"/>
      <c r="CU141" s="737"/>
      <c r="CV141" s="737"/>
      <c r="CW141" s="737"/>
      <c r="CX141" s="737"/>
      <c r="CY141" s="737"/>
      <c r="CZ141" s="737"/>
      <c r="DA141" s="737"/>
      <c r="DB141" s="737"/>
      <c r="DC141" s="737"/>
      <c r="DD141" s="737"/>
      <c r="DE141" s="737"/>
      <c r="DF141" s="737"/>
      <c r="DG141" s="737"/>
      <c r="DH141" s="737"/>
      <c r="DI141" s="737"/>
      <c r="DJ141" s="737"/>
      <c r="DK141" s="737"/>
      <c r="DL141" s="737"/>
      <c r="DM141" s="737"/>
      <c r="DN141" s="737"/>
      <c r="DO141" s="737"/>
      <c r="DP141" s="737"/>
      <c r="DQ141" s="737"/>
      <c r="DR141" s="737"/>
      <c r="DS141" s="737"/>
      <c r="DT141" s="737"/>
      <c r="DU141" s="737"/>
      <c r="DV141" s="737"/>
      <c r="DW141" s="737"/>
      <c r="DX141" s="737"/>
      <c r="DY141" s="737"/>
      <c r="DZ141" s="737"/>
      <c r="EA141" s="737"/>
      <c r="EB141" s="737"/>
      <c r="EC141" s="737"/>
      <c r="ED141" s="737"/>
      <c r="EE141" s="737"/>
      <c r="EF141" s="737"/>
      <c r="EG141" s="737"/>
      <c r="EH141" s="737"/>
      <c r="EI141" s="737"/>
      <c r="EJ141" s="737"/>
      <c r="EK141" s="737"/>
      <c r="EL141" s="737"/>
      <c r="EM141" s="737"/>
      <c r="EN141" s="737"/>
      <c r="EO141" s="737"/>
      <c r="EP141" s="737"/>
      <c r="EQ141" s="737"/>
      <c r="ER141" s="737"/>
      <c r="ES141" s="737"/>
      <c r="ET141" s="737"/>
      <c r="EU141" s="737"/>
      <c r="EV141" s="737"/>
      <c r="EW141" s="737"/>
      <c r="EX141" s="737"/>
      <c r="EY141" s="737"/>
      <c r="EZ141" s="737"/>
      <c r="FA141" s="737"/>
      <c r="FB141" s="737"/>
      <c r="FC141" s="737"/>
      <c r="FD141" s="737"/>
      <c r="FE141" s="737"/>
      <c r="FF141" s="737"/>
      <c r="FG141" s="737"/>
      <c r="FH141" s="737"/>
      <c r="FI141" s="737"/>
      <c r="FJ141" s="737"/>
      <c r="FK141" s="737"/>
      <c r="FL141" s="737"/>
      <c r="FM141" s="737"/>
      <c r="FN141" s="737"/>
      <c r="FO141" s="737"/>
      <c r="FP141" s="737"/>
      <c r="FQ141" s="737"/>
      <c r="FR141" s="737"/>
      <c r="FS141" s="737"/>
      <c r="FT141" s="737"/>
      <c r="FU141" s="737"/>
      <c r="FV141" s="737"/>
      <c r="FW141" s="737"/>
      <c r="FX141" s="737"/>
      <c r="FY141" s="737"/>
      <c r="FZ141" s="737"/>
      <c r="GA141" s="737"/>
      <c r="GB141" s="737"/>
      <c r="GC141" s="737"/>
      <c r="GD141" s="737"/>
      <c r="GE141" s="737"/>
      <c r="GF141" s="737"/>
      <c r="GG141" s="737"/>
      <c r="GH141" s="737"/>
      <c r="GI141" s="737"/>
      <c r="GJ141" s="737"/>
      <c r="GK141" s="737"/>
      <c r="GL141" s="737"/>
      <c r="GM141" s="737"/>
      <c r="GN141" s="737"/>
      <c r="GO141" s="737"/>
      <c r="GP141" s="737"/>
      <c r="GQ141" s="737"/>
      <c r="GR141" s="737"/>
      <c r="GS141" s="737"/>
      <c r="GT141" s="737"/>
      <c r="GU141" s="737"/>
      <c r="GV141" s="737"/>
      <c r="GW141" s="737"/>
      <c r="GX141" s="737"/>
      <c r="GY141" s="737"/>
      <c r="GZ141" s="737"/>
      <c r="HA141" s="737"/>
      <c r="HB141" s="737"/>
      <c r="HC141" s="737"/>
      <c r="HD141" s="737"/>
      <c r="HE141" s="737"/>
      <c r="HF141" s="737"/>
      <c r="HG141" s="737"/>
      <c r="HH141" s="737"/>
      <c r="HI141" s="737"/>
      <c r="HJ141" s="737"/>
      <c r="HK141" s="737"/>
      <c r="HL141" s="737"/>
      <c r="HM141" s="737"/>
      <c r="HN141" s="737"/>
      <c r="HO141" s="737"/>
      <c r="HP141" s="737"/>
      <c r="HQ141" s="737"/>
      <c r="HR141" s="737"/>
      <c r="HS141" s="737"/>
      <c r="HT141" s="737"/>
      <c r="HU141" s="737"/>
      <c r="HV141" s="737"/>
      <c r="HW141" s="737"/>
      <c r="HX141" s="737"/>
      <c r="HY141" s="737"/>
      <c r="HZ141" s="737"/>
      <c r="IA141" s="737"/>
      <c r="IB141" s="737"/>
      <c r="IC141" s="737"/>
      <c r="ID141" s="737"/>
      <c r="IE141" s="737"/>
      <c r="IF141" s="737"/>
      <c r="IG141" s="737"/>
      <c r="IH141" s="737"/>
      <c r="II141" s="737"/>
      <c r="IJ141" s="737"/>
      <c r="IK141" s="737"/>
      <c r="IL141" s="737"/>
      <c r="IM141" s="737"/>
      <c r="IN141" s="737"/>
      <c r="IO141" s="737"/>
      <c r="IP141" s="737"/>
      <c r="IQ141" s="737"/>
      <c r="IR141" s="737"/>
      <c r="IS141" s="737"/>
      <c r="IT141" s="737"/>
      <c r="IU141" s="737"/>
      <c r="IV141" s="737"/>
      <c r="IW141" s="737"/>
      <c r="IX141" s="737"/>
      <c r="IY141" s="737"/>
      <c r="IZ141" s="737"/>
      <c r="JA141" s="737"/>
      <c r="JB141" s="737"/>
      <c r="JC141" s="737"/>
      <c r="JD141" s="737"/>
      <c r="JE141" s="737"/>
      <c r="JF141" s="737"/>
      <c r="JG141" s="737"/>
      <c r="JH141" s="737"/>
      <c r="JI141" s="737"/>
      <c r="JJ141" s="737"/>
      <c r="JK141" s="737"/>
      <c r="JL141" s="737"/>
      <c r="JM141" s="737"/>
      <c r="JN141" s="737"/>
      <c r="JO141" s="737"/>
      <c r="JP141" s="737"/>
      <c r="JQ141" s="737"/>
      <c r="JR141" s="737"/>
      <c r="JS141" s="737"/>
      <c r="JT141" s="737"/>
      <c r="JU141" s="737"/>
      <c r="JV141" s="737"/>
      <c r="JW141" s="737"/>
      <c r="JX141" s="737"/>
      <c r="JY141" s="737"/>
      <c r="JZ141" s="737"/>
      <c r="KA141" s="737"/>
      <c r="KB141" s="737"/>
      <c r="KC141" s="737"/>
      <c r="KD141" s="737"/>
      <c r="KE141" s="737"/>
      <c r="KF141" s="737"/>
      <c r="KG141" s="737"/>
      <c r="KH141" s="737"/>
      <c r="KI141" s="737"/>
      <c r="KJ141" s="737"/>
      <c r="KK141" s="737"/>
      <c r="KL141" s="737"/>
      <c r="KM141" s="737"/>
      <c r="KN141" s="737"/>
      <c r="KO141" s="737"/>
      <c r="KP141" s="737"/>
      <c r="KQ141" s="737"/>
      <c r="KR141" s="737"/>
      <c r="KS141" s="737"/>
      <c r="KT141" s="737"/>
      <c r="KU141" s="737"/>
      <c r="KV141" s="737"/>
      <c r="KW141" s="737"/>
      <c r="KX141" s="737"/>
      <c r="KY141" s="737"/>
      <c r="KZ141" s="737"/>
      <c r="LA141" s="737"/>
      <c r="LB141" s="737"/>
      <c r="LC141" s="737"/>
      <c r="LD141" s="737"/>
      <c r="LE141" s="737"/>
      <c r="LF141" s="737"/>
      <c r="LG141" s="737"/>
      <c r="LH141" s="737"/>
      <c r="LI141" s="737"/>
      <c r="LJ141" s="737"/>
      <c r="LK141" s="737"/>
      <c r="LL141" s="737"/>
      <c r="LM141" s="737"/>
      <c r="LN141" s="737"/>
      <c r="LO141" s="737"/>
      <c r="LP141" s="737"/>
      <c r="LQ141" s="737"/>
      <c r="LR141" s="737"/>
      <c r="LS141" s="737"/>
      <c r="LT141" s="737"/>
      <c r="LU141" s="737"/>
      <c r="LV141" s="737"/>
      <c r="LW141" s="737"/>
      <c r="LX141" s="737"/>
      <c r="LY141" s="737"/>
      <c r="LZ141" s="737"/>
      <c r="MA141" s="737"/>
      <c r="MB141" s="737"/>
      <c r="MC141" s="737"/>
      <c r="MD141" s="737"/>
      <c r="ME141" s="737"/>
      <c r="MF141" s="737"/>
      <c r="MG141" s="737"/>
      <c r="MH141" s="737"/>
      <c r="MI141" s="737"/>
      <c r="MJ141" s="737"/>
      <c r="MK141" s="737"/>
      <c r="ML141" s="737"/>
      <c r="MM141" s="737"/>
      <c r="MN141" s="737"/>
      <c r="MO141" s="737"/>
      <c r="MP141" s="737"/>
      <c r="MQ141" s="737"/>
      <c r="MR141" s="737"/>
      <c r="MS141" s="737"/>
      <c r="MT141" s="737"/>
      <c r="MU141" s="737"/>
      <c r="MV141" s="737"/>
      <c r="MW141" s="737"/>
      <c r="MX141" s="737"/>
      <c r="MY141" s="737"/>
      <c r="MZ141" s="737"/>
      <c r="NA141" s="737"/>
      <c r="NB141" s="737"/>
      <c r="NC141" s="737"/>
      <c r="ND141" s="737"/>
      <c r="NE141" s="737"/>
      <c r="NF141" s="737"/>
      <c r="NG141" s="737"/>
      <c r="NH141" s="737"/>
      <c r="NI141" s="737"/>
      <c r="NJ141" s="737"/>
      <c r="NK141" s="737"/>
      <c r="NL141" s="737"/>
      <c r="NM141" s="737"/>
      <c r="NN141" s="737"/>
      <c r="NO141" s="737"/>
      <c r="NP141" s="737"/>
      <c r="NQ141" s="737"/>
      <c r="NR141" s="737"/>
      <c r="NS141" s="737"/>
      <c r="NT141" s="737"/>
      <c r="NU141" s="737"/>
      <c r="NV141" s="737"/>
      <c r="NW141" s="737"/>
      <c r="NX141" s="737"/>
      <c r="NY141" s="737"/>
      <c r="NZ141" s="737"/>
      <c r="OA141" s="737"/>
      <c r="OB141" s="737"/>
      <c r="OC141" s="737"/>
      <c r="OD141" s="737"/>
      <c r="OE141" s="737"/>
      <c r="OF141" s="737"/>
      <c r="OG141" s="737"/>
      <c r="OH141" s="737"/>
      <c r="OI141" s="737"/>
      <c r="OJ141" s="737"/>
      <c r="OK141" s="737"/>
      <c r="OL141" s="737"/>
      <c r="OM141" s="737"/>
      <c r="ON141" s="737"/>
      <c r="OO141" s="737"/>
      <c r="OP141" s="737"/>
      <c r="OQ141" s="737"/>
      <c r="OR141" s="737"/>
      <c r="OS141" s="737"/>
      <c r="OT141" s="737"/>
      <c r="OU141" s="737"/>
      <c r="OV141" s="737"/>
      <c r="OW141" s="737"/>
      <c r="OX141" s="737"/>
      <c r="OY141" s="737"/>
      <c r="OZ141" s="737"/>
      <c r="PA141" s="737"/>
      <c r="PB141" s="737"/>
      <c r="PC141" s="737"/>
      <c r="PD141" s="737"/>
      <c r="PE141" s="737"/>
      <c r="PF141" s="737"/>
      <c r="PG141" s="737"/>
      <c r="PH141" s="737"/>
      <c r="PI141" s="737"/>
      <c r="PJ141" s="737"/>
      <c r="PK141" s="737"/>
      <c r="PL141" s="737"/>
      <c r="PM141" s="737"/>
      <c r="PN141" s="737"/>
      <c r="PO141" s="737"/>
      <c r="PP141" s="737"/>
      <c r="PQ141" s="737"/>
      <c r="PR141" s="737"/>
      <c r="PS141" s="737"/>
      <c r="PT141" s="737"/>
      <c r="PU141" s="737"/>
      <c r="PV141" s="737"/>
      <c r="PW141" s="737"/>
      <c r="PX141" s="737"/>
      <c r="PY141" s="737"/>
      <c r="PZ141" s="737"/>
      <c r="QA141" s="737"/>
      <c r="QB141" s="737"/>
      <c r="QC141" s="737"/>
      <c r="QD141" s="737"/>
      <c r="QE141" s="737"/>
      <c r="QF141" s="737"/>
      <c r="QG141" s="737"/>
      <c r="QH141" s="737"/>
      <c r="QI141" s="737"/>
      <c r="QJ141" s="737"/>
      <c r="QK141" s="737"/>
      <c r="QL141" s="737"/>
      <c r="QM141" s="737"/>
      <c r="QN141" s="737"/>
      <c r="QO141" s="737"/>
      <c r="QP141" s="737"/>
      <c r="QQ141" s="737"/>
      <c r="QR141" s="737"/>
      <c r="QS141" s="737"/>
      <c r="QT141" s="737"/>
      <c r="QU141" s="737"/>
      <c r="QV141" s="737"/>
      <c r="QW141" s="737"/>
      <c r="QX141" s="737"/>
      <c r="QY141" s="737"/>
      <c r="QZ141" s="737"/>
      <c r="RA141" s="737"/>
      <c r="RB141" s="737"/>
      <c r="RC141" s="737"/>
      <c r="RD141" s="737"/>
      <c r="RE141" s="737"/>
      <c r="RF141" s="737"/>
      <c r="RG141" s="737"/>
      <c r="RH141" s="737"/>
      <c r="RI141" s="737"/>
      <c r="RJ141" s="737"/>
      <c r="RK141" s="737"/>
      <c r="RL141" s="737"/>
      <c r="RM141" s="737"/>
      <c r="RN141" s="737"/>
      <c r="RO141" s="737"/>
      <c r="RP141" s="737"/>
      <c r="RQ141" s="737"/>
      <c r="RR141" s="737"/>
      <c r="RS141" s="737"/>
      <c r="RT141" s="737"/>
      <c r="RU141" s="737"/>
      <c r="RV141" s="737"/>
      <c r="RW141" s="737"/>
      <c r="RX141" s="737"/>
      <c r="RY141" s="737"/>
      <c r="RZ141" s="737"/>
      <c r="SA141" s="737"/>
      <c r="SB141" s="737"/>
      <c r="SC141" s="737"/>
      <c r="SD141" s="737"/>
      <c r="SE141" s="737"/>
      <c r="SF141" s="737"/>
      <c r="SG141" s="737"/>
      <c r="SH141" s="737"/>
      <c r="SI141" s="737"/>
      <c r="SJ141" s="737"/>
      <c r="SK141" s="737"/>
      <c r="SL141" s="737"/>
      <c r="SM141" s="737"/>
      <c r="SN141" s="737"/>
      <c r="SO141" s="737"/>
      <c r="SP141" s="737"/>
      <c r="SQ141" s="737"/>
      <c r="SR141" s="737"/>
      <c r="SS141" s="737"/>
      <c r="ST141" s="737"/>
      <c r="SU141" s="737"/>
      <c r="SV141" s="737"/>
      <c r="SW141" s="737"/>
      <c r="SX141" s="737"/>
      <c r="SY141" s="737"/>
      <c r="SZ141" s="737"/>
      <c r="TA141" s="737"/>
      <c r="TB141" s="737"/>
      <c r="TC141" s="737"/>
      <c r="TD141" s="737"/>
      <c r="TE141" s="737"/>
      <c r="TF141" s="737"/>
      <c r="TG141" s="737"/>
      <c r="TH141" s="737"/>
      <c r="TI141" s="737"/>
      <c r="TJ141" s="737"/>
      <c r="TK141" s="737"/>
      <c r="TL141" s="737"/>
      <c r="TM141" s="737"/>
      <c r="TN141" s="737"/>
      <c r="TO141" s="737"/>
      <c r="TP141" s="737"/>
      <c r="TQ141" s="737"/>
      <c r="TR141" s="737"/>
      <c r="TS141" s="737"/>
      <c r="TT141" s="737"/>
      <c r="TU141" s="737"/>
      <c r="TV141" s="737"/>
      <c r="TW141" s="737"/>
      <c r="TX141" s="737"/>
      <c r="TY141" s="737"/>
      <c r="TZ141" s="737"/>
      <c r="UA141" s="737"/>
      <c r="UB141" s="737"/>
      <c r="UC141" s="737"/>
      <c r="UD141" s="737"/>
      <c r="UE141" s="737"/>
      <c r="UF141" s="737"/>
      <c r="UG141" s="737"/>
      <c r="UH141" s="737"/>
      <c r="UI141" s="737"/>
      <c r="UJ141" s="737"/>
      <c r="UK141" s="737"/>
      <c r="UL141" s="737"/>
      <c r="UM141" s="737"/>
      <c r="UN141" s="737"/>
      <c r="UO141" s="737"/>
      <c r="UP141" s="737"/>
      <c r="UQ141" s="737"/>
      <c r="UR141" s="737"/>
      <c r="US141" s="737"/>
      <c r="UT141" s="737"/>
      <c r="UU141" s="737"/>
      <c r="UV141" s="737"/>
      <c r="UW141" s="737"/>
      <c r="UX141" s="737"/>
      <c r="UY141" s="737"/>
      <c r="UZ141" s="737"/>
      <c r="VA141" s="737"/>
      <c r="VB141" s="737"/>
      <c r="VC141" s="737"/>
      <c r="VD141" s="737"/>
      <c r="VE141" s="737"/>
      <c r="VF141" s="737"/>
      <c r="VG141" s="737"/>
      <c r="VH141" s="737"/>
      <c r="VI141" s="737"/>
      <c r="VJ141" s="737"/>
      <c r="VK141" s="737"/>
      <c r="VL141" s="737"/>
      <c r="VM141" s="737"/>
      <c r="VN141" s="737"/>
      <c r="VO141" s="737"/>
      <c r="VP141" s="737"/>
      <c r="VQ141" s="737"/>
      <c r="VR141" s="737"/>
      <c r="VS141" s="737"/>
      <c r="VT141" s="737"/>
      <c r="VU141" s="737"/>
      <c r="VV141" s="737"/>
      <c r="VW141" s="737"/>
      <c r="VX141" s="737"/>
      <c r="VY141" s="737"/>
      <c r="VZ141" s="737"/>
      <c r="WA141" s="737"/>
      <c r="WB141" s="737"/>
      <c r="WC141" s="737"/>
      <c r="WD141" s="737"/>
      <c r="WE141" s="737"/>
      <c r="WF141" s="737"/>
      <c r="WG141" s="737"/>
      <c r="WH141" s="737"/>
      <c r="WI141" s="737"/>
      <c r="WJ141" s="737"/>
      <c r="WK141" s="737"/>
      <c r="WL141" s="737"/>
      <c r="WM141" s="737"/>
      <c r="WN141" s="737"/>
      <c r="WO141" s="737"/>
      <c r="WP141" s="737"/>
      <c r="WQ141" s="737"/>
      <c r="WR141" s="737"/>
      <c r="WS141" s="737"/>
      <c r="WT141" s="737"/>
      <c r="WU141" s="737"/>
      <c r="WV141" s="737"/>
      <c r="WW141" s="737"/>
      <c r="WX141" s="737"/>
      <c r="WY141" s="737"/>
      <c r="WZ141" s="737"/>
      <c r="XA141" s="737"/>
      <c r="XB141" s="737"/>
      <c r="XC141" s="737"/>
      <c r="XD141" s="737"/>
      <c r="XE141" s="737"/>
      <c r="XF141" s="737"/>
      <c r="XG141" s="737"/>
      <c r="XH141" s="737"/>
      <c r="XI141" s="737"/>
      <c r="XJ141" s="737"/>
      <c r="XK141" s="737"/>
      <c r="XL141" s="737"/>
      <c r="XM141" s="737"/>
      <c r="XN141" s="737"/>
      <c r="XO141" s="737"/>
      <c r="XP141" s="737"/>
      <c r="XQ141" s="737"/>
      <c r="XR141" s="737"/>
      <c r="XS141" s="737"/>
      <c r="XT141" s="737"/>
      <c r="XU141" s="737"/>
      <c r="XV141" s="737"/>
      <c r="XW141" s="737"/>
      <c r="XX141" s="737"/>
      <c r="XY141" s="737"/>
      <c r="XZ141" s="737"/>
      <c r="YA141" s="737"/>
      <c r="YB141" s="737"/>
      <c r="YC141" s="737"/>
      <c r="YD141" s="737"/>
      <c r="YE141" s="737"/>
      <c r="YF141" s="737"/>
      <c r="YG141" s="737"/>
      <c r="YH141" s="737"/>
      <c r="YI141" s="737"/>
      <c r="YJ141" s="737"/>
      <c r="YK141" s="737"/>
      <c r="YL141" s="737"/>
      <c r="YM141" s="737"/>
      <c r="YN141" s="737"/>
      <c r="YO141" s="737"/>
      <c r="YP141" s="737"/>
      <c r="YQ141" s="737"/>
      <c r="YR141" s="737"/>
      <c r="YS141" s="737"/>
      <c r="YT141" s="737"/>
      <c r="YU141" s="737"/>
      <c r="YV141" s="737"/>
      <c r="YW141" s="737"/>
      <c r="YX141" s="737"/>
      <c r="YY141" s="737"/>
      <c r="YZ141" s="737"/>
      <c r="ZA141" s="737"/>
      <c r="ZB141" s="737"/>
      <c r="ZC141" s="737"/>
      <c r="ZD141" s="737"/>
      <c r="ZE141" s="737"/>
      <c r="ZF141" s="737"/>
      <c r="ZG141" s="737"/>
      <c r="ZH141" s="737"/>
      <c r="ZI141" s="737"/>
      <c r="ZJ141" s="737"/>
      <c r="ZK141" s="737"/>
      <c r="ZL141" s="737"/>
      <c r="ZM141" s="737"/>
      <c r="ZN141" s="737"/>
      <c r="ZO141" s="737"/>
      <c r="ZP141" s="737"/>
      <c r="ZQ141" s="737"/>
      <c r="ZR141" s="737"/>
      <c r="ZS141" s="737"/>
      <c r="ZT141" s="737"/>
      <c r="ZU141" s="737"/>
      <c r="ZV141" s="737"/>
      <c r="ZW141" s="737"/>
      <c r="ZX141" s="737"/>
      <c r="ZY141" s="737"/>
      <c r="ZZ141" s="737"/>
      <c r="AAA141" s="737"/>
      <c r="AAB141" s="737"/>
      <c r="AAC141" s="737"/>
      <c r="AAD141" s="737"/>
      <c r="AAE141" s="737"/>
      <c r="AAF141" s="737"/>
      <c r="AAG141" s="737"/>
      <c r="AAH141" s="737"/>
      <c r="AAI141" s="737"/>
      <c r="AAJ141" s="737"/>
      <c r="AAK141" s="737"/>
      <c r="AAL141" s="737"/>
      <c r="AAM141" s="737"/>
      <c r="AAN141" s="737"/>
      <c r="AAO141" s="737"/>
      <c r="AAP141" s="737"/>
      <c r="AAQ141" s="737"/>
      <c r="AAR141" s="737"/>
      <c r="AAS141" s="737"/>
      <c r="AAT141" s="737"/>
      <c r="AAU141" s="737"/>
      <c r="AAV141" s="737"/>
      <c r="AAW141" s="737"/>
      <c r="AAX141" s="737"/>
      <c r="AAY141" s="737"/>
      <c r="AAZ141" s="737"/>
      <c r="ABA141" s="737"/>
      <c r="ABB141" s="737"/>
      <c r="ABC141" s="737"/>
      <c r="ABD141" s="737"/>
      <c r="ABE141" s="737"/>
      <c r="ABF141" s="737"/>
      <c r="ABG141" s="737"/>
      <c r="ABH141" s="737"/>
      <c r="ABI141" s="737"/>
      <c r="ABJ141" s="737"/>
      <c r="ABK141" s="737"/>
      <c r="ABL141" s="737"/>
      <c r="ABM141" s="737"/>
      <c r="ABN141" s="737"/>
      <c r="ABO141" s="737"/>
      <c r="ABP141" s="737"/>
      <c r="ABQ141" s="737"/>
      <c r="ABR141" s="737"/>
      <c r="ABS141" s="737"/>
      <c r="ABT141" s="737"/>
      <c r="ABU141" s="737"/>
      <c r="ABV141" s="737"/>
      <c r="ABW141" s="737"/>
      <c r="ABX141" s="737"/>
      <c r="ABY141" s="737"/>
      <c r="ABZ141" s="737"/>
      <c r="ACA141" s="737"/>
      <c r="ACB141" s="737"/>
      <c r="ACC141" s="737"/>
      <c r="ACD141" s="737"/>
      <c r="ACE141" s="737"/>
      <c r="ACF141" s="737"/>
      <c r="ACG141" s="737"/>
      <c r="ACH141" s="737"/>
      <c r="ACI141" s="737"/>
      <c r="ACJ141" s="737"/>
      <c r="ACK141" s="737"/>
      <c r="ACL141" s="737"/>
      <c r="ACM141" s="737"/>
      <c r="ACN141" s="737"/>
      <c r="ACO141" s="737"/>
      <c r="ACP141" s="737"/>
      <c r="ACQ141" s="737"/>
      <c r="ACR141" s="737"/>
      <c r="ACS141" s="737"/>
      <c r="ACT141" s="737"/>
      <c r="ACU141" s="737"/>
      <c r="ACV141" s="737"/>
      <c r="ACW141" s="737"/>
      <c r="ACX141" s="737"/>
      <c r="ACY141" s="737"/>
      <c r="ACZ141" s="737"/>
      <c r="ADA141" s="737"/>
      <c r="ADB141" s="737"/>
      <c r="ADC141" s="737"/>
      <c r="ADD141" s="737"/>
      <c r="ADE141" s="737"/>
      <c r="ADF141" s="737"/>
      <c r="ADG141" s="737"/>
      <c r="ADH141" s="737"/>
      <c r="ADI141" s="737"/>
      <c r="ADJ141" s="737"/>
      <c r="ADK141" s="737"/>
      <c r="ADL141" s="737"/>
      <c r="ADM141" s="737"/>
      <c r="ADN141" s="737"/>
      <c r="ADO141" s="737"/>
      <c r="ADP141" s="737"/>
      <c r="ADQ141" s="737"/>
      <c r="ADR141" s="737"/>
      <c r="ADS141" s="737"/>
      <c r="ADT141" s="737"/>
      <c r="ADU141" s="737"/>
      <c r="ADV141" s="737"/>
      <c r="ADW141" s="737"/>
      <c r="ADX141" s="737"/>
      <c r="ADY141" s="737"/>
      <c r="ADZ141" s="737"/>
      <c r="AEA141" s="737"/>
      <c r="AEB141" s="737"/>
      <c r="AEC141" s="737"/>
      <c r="AED141" s="737"/>
      <c r="AEE141" s="737"/>
      <c r="AEF141" s="737"/>
      <c r="AEG141" s="737"/>
      <c r="AEH141" s="737"/>
      <c r="AEI141" s="737"/>
      <c r="AEJ141" s="737"/>
      <c r="AEK141" s="737"/>
      <c r="AEL141" s="737"/>
      <c r="AEM141" s="737"/>
      <c r="AEN141" s="737"/>
      <c r="AEO141" s="737"/>
      <c r="AEP141" s="737"/>
      <c r="AEQ141" s="737"/>
      <c r="AER141" s="737"/>
      <c r="AES141" s="737"/>
      <c r="AET141" s="737"/>
      <c r="AEU141" s="737"/>
      <c r="AEV141" s="737"/>
      <c r="AEW141" s="737"/>
      <c r="AEX141" s="737"/>
      <c r="AEY141" s="737"/>
      <c r="AEZ141" s="737"/>
      <c r="AFA141" s="737"/>
      <c r="AFB141" s="737"/>
      <c r="AFC141" s="737"/>
      <c r="AFD141" s="737"/>
      <c r="AFE141" s="737"/>
      <c r="AFF141" s="737"/>
      <c r="AFG141" s="737"/>
      <c r="AFH141" s="737"/>
      <c r="AFI141" s="737"/>
      <c r="AFJ141" s="737"/>
      <c r="AFK141" s="737"/>
      <c r="AFL141" s="737"/>
      <c r="AFM141" s="737"/>
      <c r="AFN141" s="737"/>
      <c r="AFO141" s="737"/>
      <c r="AFP141" s="737"/>
      <c r="AFQ141" s="737"/>
      <c r="AFR141" s="737"/>
      <c r="AFS141" s="737"/>
      <c r="AFT141" s="737"/>
      <c r="AFU141" s="737"/>
      <c r="AFV141" s="737"/>
      <c r="AFW141" s="737"/>
      <c r="AFX141" s="737"/>
      <c r="AFY141" s="737"/>
      <c r="AFZ141" s="737"/>
      <c r="AGA141" s="737"/>
      <c r="AGB141" s="737"/>
      <c r="AGC141" s="737"/>
      <c r="AGD141" s="737"/>
      <c r="AGE141" s="737"/>
      <c r="AGF141" s="737"/>
      <c r="AGG141" s="737"/>
      <c r="AGH141" s="737"/>
      <c r="AGI141" s="737"/>
      <c r="AGJ141" s="737"/>
      <c r="AGK141" s="737"/>
      <c r="AGL141" s="737"/>
      <c r="AGM141" s="737"/>
      <c r="AGN141" s="737"/>
      <c r="AGO141" s="737"/>
      <c r="AGP141" s="737"/>
      <c r="AGQ141" s="737"/>
      <c r="AGR141" s="737"/>
      <c r="AGS141" s="737"/>
      <c r="AGT141" s="737"/>
      <c r="AGU141" s="737"/>
      <c r="AGV141" s="737"/>
      <c r="AGW141" s="737"/>
      <c r="AGX141" s="737"/>
      <c r="AGY141" s="737"/>
      <c r="AGZ141" s="737"/>
      <c r="AHA141" s="737"/>
      <c r="AHB141" s="737"/>
      <c r="AHC141" s="737"/>
      <c r="AHD141" s="737"/>
      <c r="AHE141" s="737"/>
      <c r="AHF141" s="737"/>
      <c r="AHG141" s="737"/>
      <c r="AHH141" s="737"/>
      <c r="AHI141" s="737"/>
      <c r="AHJ141" s="737"/>
      <c r="AHK141" s="737"/>
      <c r="AHL141" s="737"/>
      <c r="AHM141" s="737"/>
      <c r="AHN141" s="737"/>
      <c r="AHO141" s="737"/>
      <c r="AHP141" s="737"/>
      <c r="AHQ141" s="737"/>
      <c r="AHR141" s="737"/>
      <c r="AHS141" s="737"/>
      <c r="AHT141" s="737"/>
      <c r="AHU141" s="737"/>
      <c r="AHV141" s="737"/>
      <c r="AHW141" s="737"/>
      <c r="AHX141" s="737"/>
      <c r="AHY141" s="737"/>
      <c r="AHZ141" s="737"/>
      <c r="AIA141" s="737"/>
      <c r="AIB141" s="737"/>
      <c r="AIC141" s="737"/>
      <c r="AID141" s="737"/>
      <c r="AIE141" s="737"/>
      <c r="AIF141" s="737"/>
      <c r="AIG141" s="737"/>
      <c r="AIH141" s="737"/>
      <c r="AII141" s="737"/>
      <c r="AIJ141" s="737"/>
      <c r="AIK141" s="737"/>
      <c r="AIL141" s="737"/>
      <c r="AIM141" s="737"/>
      <c r="AIN141" s="737"/>
      <c r="AIO141" s="737"/>
      <c r="AIP141" s="737"/>
      <c r="AIQ141" s="737"/>
      <c r="AIR141" s="737"/>
      <c r="AIS141" s="737"/>
      <c r="AIT141" s="737"/>
      <c r="AIU141" s="737"/>
      <c r="AIV141" s="737"/>
      <c r="AIW141" s="737"/>
      <c r="AIX141" s="737"/>
      <c r="AIY141" s="737"/>
      <c r="AIZ141" s="737"/>
      <c r="AJA141" s="737"/>
      <c r="AJB141" s="737"/>
      <c r="AJC141" s="737"/>
      <c r="AJD141" s="737"/>
      <c r="AJE141" s="737"/>
      <c r="AJF141" s="737"/>
      <c r="AJG141" s="737"/>
      <c r="AJH141" s="737"/>
      <c r="AJI141" s="737"/>
      <c r="AJJ141" s="737"/>
      <c r="AJK141" s="737"/>
      <c r="AJL141" s="737"/>
      <c r="AJM141" s="737"/>
      <c r="AJN141" s="737"/>
      <c r="AJO141" s="737"/>
      <c r="AJP141" s="737"/>
      <c r="AJQ141" s="737"/>
      <c r="AJR141" s="737"/>
      <c r="AJS141" s="737"/>
      <c r="AJT141" s="737"/>
      <c r="AJU141" s="737"/>
      <c r="AJV141" s="737"/>
      <c r="AJW141" s="737"/>
      <c r="AJX141" s="737"/>
      <c r="AJY141" s="737"/>
      <c r="AJZ141" s="737"/>
      <c r="AKA141" s="737"/>
      <c r="AKB141" s="737"/>
      <c r="AKC141" s="737"/>
      <c r="AKD141" s="737"/>
      <c r="AKE141" s="737"/>
      <c r="AKF141" s="737"/>
      <c r="AKG141" s="737"/>
      <c r="AKH141" s="737"/>
      <c r="AKI141" s="737"/>
      <c r="AKJ141" s="737"/>
      <c r="AKK141" s="737"/>
      <c r="AKL141" s="737"/>
      <c r="AKM141" s="737"/>
      <c r="AKN141" s="737"/>
      <c r="AKO141" s="737"/>
      <c r="AKP141" s="737"/>
      <c r="AKQ141" s="737"/>
      <c r="AKR141" s="737"/>
      <c r="AKS141" s="737"/>
      <c r="AKT141" s="737"/>
      <c r="AKU141" s="737"/>
      <c r="AKV141" s="737"/>
      <c r="AKW141" s="737"/>
      <c r="AKX141" s="737"/>
      <c r="AKY141" s="737"/>
      <c r="AKZ141" s="737"/>
      <c r="ALA141" s="737"/>
      <c r="ALB141" s="737"/>
      <c r="ALC141" s="737"/>
      <c r="ALD141" s="737"/>
      <c r="ALE141" s="737"/>
      <c r="ALF141" s="737"/>
      <c r="ALG141" s="737"/>
      <c r="ALH141" s="737"/>
      <c r="ALI141" s="737"/>
      <c r="ALJ141" s="737"/>
      <c r="ALK141" s="737"/>
      <c r="ALL141" s="737"/>
      <c r="ALM141" s="737"/>
      <c r="ALN141" s="737"/>
      <c r="ALO141" s="737"/>
      <c r="ALP141" s="737"/>
      <c r="ALQ141" s="737"/>
      <c r="ALR141" s="737"/>
      <c r="ALS141" s="737"/>
      <c r="ALT141" s="737"/>
      <c r="ALU141" s="737"/>
      <c r="ALV141" s="737"/>
      <c r="ALW141" s="737"/>
      <c r="ALX141" s="737"/>
      <c r="ALY141" s="737"/>
      <c r="ALZ141" s="737"/>
      <c r="AMA141" s="737"/>
      <c r="AMB141" s="737"/>
      <c r="AMC141" s="737"/>
      <c r="AMD141" s="737"/>
      <c r="AME141" s="737"/>
      <c r="AMF141" s="737"/>
      <c r="AMG141" s="737"/>
      <c r="AMH141" s="737"/>
      <c r="AMI141" s="737"/>
      <c r="AMJ141" s="737"/>
      <c r="AMK141" s="737"/>
    </row>
    <row r="142" spans="1:1025">
      <c r="A142" s="115"/>
      <c r="B142" s="115"/>
      <c r="C142" s="893"/>
      <c r="D142" s="915"/>
      <c r="E142" s="934"/>
      <c r="F142" s="950"/>
    </row>
    <row r="143" spans="1:1025">
      <c r="A143" s="2169" t="s">
        <v>281</v>
      </c>
      <c r="B143" s="2169"/>
      <c r="C143" s="898">
        <f>'5.'!D81</f>
        <v>2664423000</v>
      </c>
      <c r="D143" s="920">
        <f>'5.'!E81</f>
        <v>2789536000</v>
      </c>
      <c r="E143" s="937">
        <f>'5.'!F81</f>
        <v>571795908.22000003</v>
      </c>
      <c r="F143" s="952">
        <f>E143/D143</f>
        <v>0.2049788596454751</v>
      </c>
    </row>
    <row r="144" spans="1:1025">
      <c r="A144" s="13"/>
      <c r="B144" s="10"/>
      <c r="C144" s="898"/>
      <c r="D144" s="920"/>
      <c r="E144" s="937"/>
      <c r="F144" s="950"/>
    </row>
    <row r="145" spans="1:1025">
      <c r="A145" s="2169" t="s">
        <v>282</v>
      </c>
      <c r="B145" s="2169"/>
      <c r="C145" s="1332">
        <f>'5.'!D141</f>
        <v>116907000</v>
      </c>
      <c r="D145" s="1330">
        <f>'5.'!E141</f>
        <v>158659000</v>
      </c>
      <c r="E145" s="1331">
        <f>'5.'!F141</f>
        <v>94941749.540000007</v>
      </c>
      <c r="F145" s="952">
        <f>E145/D145</f>
        <v>0.59840128539824411</v>
      </c>
    </row>
    <row r="146" spans="1:1025">
      <c r="A146" s="9"/>
      <c r="B146" s="115"/>
      <c r="C146" s="899"/>
      <c r="D146" s="921"/>
      <c r="E146" s="937"/>
      <c r="F146" s="950"/>
    </row>
    <row r="147" spans="1:1025" s="962" customFormat="1">
      <c r="A147" s="2169" t="s">
        <v>283</v>
      </c>
      <c r="B147" s="2169"/>
      <c r="C147" s="898">
        <f>'5.'!D154</f>
        <v>10000000</v>
      </c>
      <c r="D147" s="920">
        <f>'5.'!E154</f>
        <v>10000000</v>
      </c>
      <c r="E147" s="937">
        <v>3000000</v>
      </c>
      <c r="F147" s="959">
        <f>E147/D147</f>
        <v>0.3</v>
      </c>
      <c r="G147" s="963"/>
      <c r="H147" s="963"/>
      <c r="I147" s="963"/>
      <c r="J147" s="963"/>
      <c r="K147" s="963"/>
      <c r="L147" s="963"/>
      <c r="M147" s="963"/>
      <c r="N147" s="963"/>
      <c r="O147" s="963"/>
      <c r="P147" s="963"/>
      <c r="Q147" s="963"/>
      <c r="R147" s="963"/>
      <c r="S147" s="963"/>
      <c r="T147" s="963"/>
      <c r="U147" s="963"/>
      <c r="V147" s="963"/>
      <c r="W147" s="963"/>
      <c r="X147" s="963"/>
      <c r="Y147" s="963"/>
      <c r="Z147" s="963"/>
      <c r="AA147" s="963"/>
      <c r="AB147" s="963"/>
      <c r="AC147" s="963"/>
      <c r="AD147" s="963"/>
      <c r="AE147" s="963"/>
      <c r="AF147" s="963"/>
      <c r="AG147" s="963"/>
      <c r="AH147" s="963"/>
      <c r="AI147" s="963"/>
      <c r="AJ147" s="963"/>
      <c r="AK147" s="963"/>
      <c r="AL147" s="963"/>
      <c r="AM147" s="963"/>
      <c r="AN147" s="963"/>
      <c r="AO147" s="963"/>
      <c r="AP147" s="963"/>
      <c r="AQ147" s="963"/>
      <c r="AR147" s="963"/>
      <c r="AS147" s="963"/>
      <c r="AT147" s="963"/>
      <c r="AU147" s="963"/>
      <c r="AV147" s="963"/>
      <c r="AW147" s="963"/>
      <c r="AX147" s="963"/>
      <c r="AY147" s="963"/>
      <c r="AZ147" s="963"/>
      <c r="BA147" s="963"/>
      <c r="BB147" s="963"/>
      <c r="BC147" s="963"/>
      <c r="BD147" s="963"/>
      <c r="BE147" s="963"/>
      <c r="BF147" s="963"/>
      <c r="BG147" s="963"/>
      <c r="BH147" s="963"/>
      <c r="BI147" s="963"/>
      <c r="BJ147" s="963"/>
      <c r="BK147" s="963"/>
      <c r="BL147" s="963"/>
      <c r="BM147" s="963"/>
      <c r="BN147" s="963"/>
      <c r="BO147" s="963"/>
      <c r="BP147" s="963"/>
      <c r="BQ147" s="963"/>
      <c r="BR147" s="963"/>
      <c r="BS147" s="963"/>
      <c r="BT147" s="963"/>
      <c r="BU147" s="963"/>
      <c r="BV147" s="963"/>
      <c r="BW147" s="963"/>
      <c r="BX147" s="963"/>
      <c r="BY147" s="963"/>
      <c r="BZ147" s="963"/>
      <c r="CA147" s="963"/>
      <c r="CB147" s="963"/>
      <c r="CC147" s="963"/>
      <c r="CD147" s="963"/>
      <c r="CE147" s="963"/>
      <c r="CF147" s="963"/>
      <c r="CG147" s="963"/>
      <c r="CH147" s="963"/>
      <c r="CI147" s="963"/>
      <c r="CJ147" s="963"/>
      <c r="CK147" s="963"/>
      <c r="CL147" s="963"/>
      <c r="CM147" s="963"/>
      <c r="CN147" s="963"/>
      <c r="CO147" s="963"/>
      <c r="CP147" s="963"/>
      <c r="CQ147" s="963"/>
      <c r="CR147" s="963"/>
      <c r="CS147" s="963"/>
      <c r="CT147" s="963"/>
      <c r="CU147" s="963"/>
      <c r="CV147" s="963"/>
      <c r="CW147" s="963"/>
      <c r="CX147" s="963"/>
      <c r="CY147" s="963"/>
      <c r="CZ147" s="963"/>
      <c r="DA147" s="963"/>
      <c r="DB147" s="963"/>
      <c r="DC147" s="963"/>
      <c r="DD147" s="963"/>
      <c r="DE147" s="963"/>
      <c r="DF147" s="963"/>
      <c r="DG147" s="963"/>
      <c r="DH147" s="963"/>
      <c r="DI147" s="963"/>
      <c r="DJ147" s="963"/>
      <c r="DK147" s="963"/>
      <c r="DL147" s="963"/>
      <c r="DM147" s="963"/>
      <c r="DN147" s="963"/>
      <c r="DO147" s="963"/>
      <c r="DP147" s="963"/>
      <c r="DQ147" s="963"/>
      <c r="DR147" s="963"/>
      <c r="DS147" s="963"/>
      <c r="DT147" s="963"/>
      <c r="DU147" s="963"/>
      <c r="DV147" s="963"/>
      <c r="DW147" s="963"/>
      <c r="DX147" s="963"/>
      <c r="DY147" s="963"/>
      <c r="DZ147" s="963"/>
      <c r="EA147" s="963"/>
      <c r="EB147" s="963"/>
      <c r="EC147" s="963"/>
      <c r="ED147" s="963"/>
      <c r="EE147" s="963"/>
      <c r="EF147" s="963"/>
      <c r="EG147" s="963"/>
      <c r="EH147" s="963"/>
      <c r="EI147" s="963"/>
      <c r="EJ147" s="963"/>
      <c r="EK147" s="963"/>
      <c r="EL147" s="963"/>
      <c r="EM147" s="963"/>
      <c r="EN147" s="963"/>
      <c r="EO147" s="963"/>
      <c r="EP147" s="963"/>
      <c r="EQ147" s="963"/>
      <c r="ER147" s="963"/>
      <c r="ES147" s="963"/>
      <c r="ET147" s="963"/>
      <c r="EU147" s="963"/>
      <c r="EV147" s="963"/>
      <c r="EW147" s="963"/>
      <c r="EX147" s="963"/>
      <c r="EY147" s="963"/>
      <c r="EZ147" s="963"/>
      <c r="FA147" s="963"/>
      <c r="FB147" s="963"/>
      <c r="FC147" s="963"/>
      <c r="FD147" s="963"/>
      <c r="FE147" s="963"/>
      <c r="FF147" s="963"/>
      <c r="FG147" s="963"/>
      <c r="FH147" s="963"/>
      <c r="FI147" s="963"/>
      <c r="FJ147" s="963"/>
      <c r="FK147" s="963"/>
      <c r="FL147" s="963"/>
      <c r="FM147" s="963"/>
      <c r="FN147" s="963"/>
      <c r="FO147" s="963"/>
      <c r="FP147" s="963"/>
      <c r="FQ147" s="963"/>
      <c r="FR147" s="963"/>
      <c r="FS147" s="963"/>
      <c r="FT147" s="963"/>
      <c r="FU147" s="963"/>
      <c r="FV147" s="963"/>
      <c r="FW147" s="963"/>
      <c r="FX147" s="963"/>
      <c r="FY147" s="963"/>
      <c r="FZ147" s="963"/>
      <c r="GA147" s="963"/>
      <c r="GB147" s="963"/>
      <c r="GC147" s="963"/>
      <c r="GD147" s="963"/>
      <c r="GE147" s="963"/>
      <c r="GF147" s="963"/>
      <c r="GG147" s="963"/>
      <c r="GH147" s="963"/>
      <c r="GI147" s="963"/>
      <c r="GJ147" s="963"/>
      <c r="GK147" s="963"/>
      <c r="GL147" s="963"/>
      <c r="GM147" s="963"/>
      <c r="GN147" s="963"/>
      <c r="GO147" s="963"/>
      <c r="GP147" s="963"/>
      <c r="GQ147" s="963"/>
      <c r="GR147" s="963"/>
      <c r="GS147" s="963"/>
      <c r="GT147" s="963"/>
      <c r="GU147" s="963"/>
      <c r="GV147" s="963"/>
      <c r="GW147" s="963"/>
      <c r="GX147" s="963"/>
      <c r="GY147" s="963"/>
      <c r="GZ147" s="963"/>
      <c r="HA147" s="963"/>
      <c r="HB147" s="963"/>
      <c r="HC147" s="963"/>
      <c r="HD147" s="963"/>
      <c r="HE147" s="963"/>
      <c r="HF147" s="963"/>
      <c r="HG147" s="963"/>
      <c r="HH147" s="963"/>
      <c r="HI147" s="963"/>
      <c r="HJ147" s="963"/>
      <c r="HK147" s="963"/>
      <c r="HL147" s="963"/>
      <c r="HM147" s="963"/>
      <c r="HN147" s="963"/>
      <c r="HO147" s="963"/>
      <c r="HP147" s="963"/>
      <c r="HQ147" s="963"/>
      <c r="HR147" s="963"/>
      <c r="HS147" s="963"/>
      <c r="HT147" s="963"/>
      <c r="HU147" s="963"/>
      <c r="HV147" s="963"/>
      <c r="HW147" s="963"/>
      <c r="HX147" s="963"/>
      <c r="HY147" s="963"/>
      <c r="HZ147" s="963"/>
      <c r="IA147" s="963"/>
      <c r="IB147" s="963"/>
      <c r="IC147" s="963"/>
      <c r="ID147" s="963"/>
      <c r="IE147" s="963"/>
      <c r="IF147" s="963"/>
      <c r="IG147" s="963"/>
      <c r="IH147" s="963"/>
      <c r="II147" s="963"/>
      <c r="IJ147" s="963"/>
      <c r="IK147" s="963"/>
      <c r="IL147" s="963"/>
      <c r="IM147" s="963"/>
      <c r="IN147" s="963"/>
      <c r="IO147" s="963"/>
      <c r="IP147" s="963"/>
      <c r="IQ147" s="963"/>
      <c r="IR147" s="963"/>
      <c r="IS147" s="963"/>
      <c r="IT147" s="963"/>
      <c r="IU147" s="963"/>
      <c r="IV147" s="963"/>
      <c r="IW147" s="963"/>
      <c r="IX147" s="963"/>
      <c r="IY147" s="963"/>
      <c r="IZ147" s="963"/>
      <c r="JA147" s="963"/>
      <c r="JB147" s="963"/>
      <c r="JC147" s="963"/>
      <c r="JD147" s="963"/>
      <c r="JE147" s="963"/>
      <c r="JF147" s="963"/>
      <c r="JG147" s="963"/>
      <c r="JH147" s="963"/>
      <c r="JI147" s="963"/>
      <c r="JJ147" s="963"/>
      <c r="JK147" s="963"/>
      <c r="JL147" s="963"/>
      <c r="JM147" s="963"/>
      <c r="JN147" s="963"/>
      <c r="JO147" s="963"/>
      <c r="JP147" s="963"/>
      <c r="JQ147" s="963"/>
      <c r="JR147" s="963"/>
      <c r="JS147" s="963"/>
      <c r="JT147" s="963"/>
      <c r="JU147" s="963"/>
      <c r="JV147" s="963"/>
      <c r="JW147" s="963"/>
      <c r="JX147" s="963"/>
      <c r="JY147" s="963"/>
      <c r="JZ147" s="963"/>
      <c r="KA147" s="963"/>
      <c r="KB147" s="963"/>
      <c r="KC147" s="963"/>
      <c r="KD147" s="963"/>
      <c r="KE147" s="963"/>
      <c r="KF147" s="963"/>
      <c r="KG147" s="963"/>
      <c r="KH147" s="963"/>
      <c r="KI147" s="963"/>
      <c r="KJ147" s="963"/>
      <c r="KK147" s="963"/>
      <c r="KL147" s="963"/>
      <c r="KM147" s="963"/>
      <c r="KN147" s="963"/>
      <c r="KO147" s="963"/>
      <c r="KP147" s="963"/>
      <c r="KQ147" s="963"/>
      <c r="KR147" s="963"/>
      <c r="KS147" s="963"/>
      <c r="KT147" s="963"/>
      <c r="KU147" s="963"/>
      <c r="KV147" s="963"/>
      <c r="KW147" s="963"/>
      <c r="KX147" s="963"/>
      <c r="KY147" s="963"/>
      <c r="KZ147" s="963"/>
      <c r="LA147" s="963"/>
      <c r="LB147" s="963"/>
      <c r="LC147" s="963"/>
      <c r="LD147" s="963"/>
      <c r="LE147" s="963"/>
      <c r="LF147" s="963"/>
      <c r="LG147" s="963"/>
      <c r="LH147" s="963"/>
      <c r="LI147" s="963"/>
      <c r="LJ147" s="963"/>
      <c r="LK147" s="963"/>
      <c r="LL147" s="963"/>
      <c r="LM147" s="963"/>
      <c r="LN147" s="963"/>
      <c r="LO147" s="963"/>
      <c r="LP147" s="963"/>
      <c r="LQ147" s="963"/>
      <c r="LR147" s="963"/>
      <c r="LS147" s="963"/>
      <c r="LT147" s="963"/>
      <c r="LU147" s="963"/>
      <c r="LV147" s="963"/>
      <c r="LW147" s="963"/>
      <c r="LX147" s="963"/>
      <c r="LY147" s="963"/>
      <c r="LZ147" s="963"/>
      <c r="MA147" s="963"/>
      <c r="MB147" s="963"/>
      <c r="MC147" s="963"/>
      <c r="MD147" s="963"/>
      <c r="ME147" s="963"/>
      <c r="MF147" s="963"/>
      <c r="MG147" s="963"/>
      <c r="MH147" s="963"/>
      <c r="MI147" s="963"/>
      <c r="MJ147" s="963"/>
      <c r="MK147" s="963"/>
      <c r="ML147" s="963"/>
      <c r="MM147" s="963"/>
      <c r="MN147" s="963"/>
      <c r="MO147" s="963"/>
      <c r="MP147" s="963"/>
      <c r="MQ147" s="963"/>
      <c r="MR147" s="963"/>
      <c r="MS147" s="963"/>
      <c r="MT147" s="963"/>
      <c r="MU147" s="963"/>
      <c r="MV147" s="963"/>
      <c r="MW147" s="963"/>
      <c r="MX147" s="963"/>
      <c r="MY147" s="963"/>
      <c r="MZ147" s="963"/>
      <c r="NA147" s="963"/>
      <c r="NB147" s="963"/>
      <c r="NC147" s="963"/>
      <c r="ND147" s="963"/>
      <c r="NE147" s="963"/>
      <c r="NF147" s="963"/>
      <c r="NG147" s="963"/>
      <c r="NH147" s="963"/>
      <c r="NI147" s="963"/>
      <c r="NJ147" s="963"/>
      <c r="NK147" s="963"/>
      <c r="NL147" s="963"/>
      <c r="NM147" s="963"/>
      <c r="NN147" s="963"/>
      <c r="NO147" s="963"/>
      <c r="NP147" s="963"/>
      <c r="NQ147" s="963"/>
      <c r="NR147" s="963"/>
      <c r="NS147" s="963"/>
      <c r="NT147" s="963"/>
      <c r="NU147" s="963"/>
      <c r="NV147" s="963"/>
      <c r="NW147" s="963"/>
      <c r="NX147" s="963"/>
      <c r="NY147" s="963"/>
      <c r="NZ147" s="963"/>
      <c r="OA147" s="963"/>
      <c r="OB147" s="963"/>
      <c r="OC147" s="963"/>
      <c r="OD147" s="963"/>
      <c r="OE147" s="963"/>
      <c r="OF147" s="963"/>
      <c r="OG147" s="963"/>
      <c r="OH147" s="963"/>
      <c r="OI147" s="963"/>
      <c r="OJ147" s="963"/>
      <c r="OK147" s="963"/>
      <c r="OL147" s="963"/>
      <c r="OM147" s="963"/>
      <c r="ON147" s="963"/>
      <c r="OO147" s="963"/>
      <c r="OP147" s="963"/>
      <c r="OQ147" s="963"/>
      <c r="OR147" s="963"/>
      <c r="OS147" s="963"/>
      <c r="OT147" s="963"/>
      <c r="OU147" s="963"/>
      <c r="OV147" s="963"/>
      <c r="OW147" s="963"/>
      <c r="OX147" s="963"/>
      <c r="OY147" s="963"/>
      <c r="OZ147" s="963"/>
      <c r="PA147" s="963"/>
      <c r="PB147" s="963"/>
      <c r="PC147" s="963"/>
      <c r="PD147" s="963"/>
      <c r="PE147" s="963"/>
      <c r="PF147" s="963"/>
      <c r="PG147" s="963"/>
      <c r="PH147" s="963"/>
      <c r="PI147" s="963"/>
      <c r="PJ147" s="963"/>
      <c r="PK147" s="963"/>
      <c r="PL147" s="963"/>
      <c r="PM147" s="963"/>
      <c r="PN147" s="963"/>
      <c r="PO147" s="963"/>
      <c r="PP147" s="963"/>
      <c r="PQ147" s="963"/>
      <c r="PR147" s="963"/>
      <c r="PS147" s="963"/>
      <c r="PT147" s="963"/>
      <c r="PU147" s="963"/>
      <c r="PV147" s="963"/>
      <c r="PW147" s="963"/>
      <c r="PX147" s="963"/>
      <c r="PY147" s="963"/>
      <c r="PZ147" s="963"/>
      <c r="QA147" s="963"/>
      <c r="QB147" s="963"/>
      <c r="QC147" s="963"/>
      <c r="QD147" s="963"/>
      <c r="QE147" s="963"/>
      <c r="QF147" s="963"/>
      <c r="QG147" s="963"/>
      <c r="QH147" s="963"/>
      <c r="QI147" s="963"/>
      <c r="QJ147" s="963"/>
      <c r="QK147" s="963"/>
      <c r="QL147" s="963"/>
      <c r="QM147" s="963"/>
      <c r="QN147" s="963"/>
      <c r="QO147" s="963"/>
      <c r="QP147" s="963"/>
      <c r="QQ147" s="963"/>
      <c r="QR147" s="963"/>
      <c r="QS147" s="963"/>
      <c r="QT147" s="963"/>
      <c r="QU147" s="963"/>
      <c r="QV147" s="963"/>
      <c r="QW147" s="963"/>
      <c r="QX147" s="963"/>
      <c r="QY147" s="963"/>
      <c r="QZ147" s="963"/>
      <c r="RA147" s="963"/>
      <c r="RB147" s="963"/>
      <c r="RC147" s="963"/>
      <c r="RD147" s="963"/>
      <c r="RE147" s="963"/>
      <c r="RF147" s="963"/>
      <c r="RG147" s="963"/>
      <c r="RH147" s="963"/>
      <c r="RI147" s="963"/>
      <c r="RJ147" s="963"/>
      <c r="RK147" s="963"/>
      <c r="RL147" s="963"/>
      <c r="RM147" s="963"/>
      <c r="RN147" s="963"/>
      <c r="RO147" s="963"/>
      <c r="RP147" s="963"/>
      <c r="RQ147" s="963"/>
      <c r="RR147" s="963"/>
      <c r="RS147" s="963"/>
      <c r="RT147" s="963"/>
      <c r="RU147" s="963"/>
      <c r="RV147" s="963"/>
      <c r="RW147" s="963"/>
      <c r="RX147" s="963"/>
      <c r="RY147" s="963"/>
      <c r="RZ147" s="963"/>
      <c r="SA147" s="963"/>
      <c r="SB147" s="963"/>
      <c r="SC147" s="963"/>
      <c r="SD147" s="963"/>
      <c r="SE147" s="963"/>
      <c r="SF147" s="963"/>
      <c r="SG147" s="963"/>
      <c r="SH147" s="963"/>
      <c r="SI147" s="963"/>
      <c r="SJ147" s="963"/>
      <c r="SK147" s="963"/>
      <c r="SL147" s="963"/>
      <c r="SM147" s="963"/>
      <c r="SN147" s="963"/>
      <c r="SO147" s="963"/>
      <c r="SP147" s="963"/>
      <c r="SQ147" s="963"/>
      <c r="SR147" s="963"/>
      <c r="SS147" s="963"/>
      <c r="ST147" s="963"/>
      <c r="SU147" s="963"/>
      <c r="SV147" s="963"/>
      <c r="SW147" s="963"/>
      <c r="SX147" s="963"/>
      <c r="SY147" s="963"/>
      <c r="SZ147" s="963"/>
      <c r="TA147" s="963"/>
      <c r="TB147" s="963"/>
      <c r="TC147" s="963"/>
      <c r="TD147" s="963"/>
      <c r="TE147" s="963"/>
      <c r="TF147" s="963"/>
      <c r="TG147" s="963"/>
      <c r="TH147" s="963"/>
      <c r="TI147" s="963"/>
      <c r="TJ147" s="963"/>
      <c r="TK147" s="963"/>
      <c r="TL147" s="963"/>
      <c r="TM147" s="963"/>
      <c r="TN147" s="963"/>
      <c r="TO147" s="963"/>
      <c r="TP147" s="963"/>
      <c r="TQ147" s="963"/>
      <c r="TR147" s="963"/>
      <c r="TS147" s="963"/>
      <c r="TT147" s="963"/>
      <c r="TU147" s="963"/>
      <c r="TV147" s="963"/>
      <c r="TW147" s="963"/>
      <c r="TX147" s="963"/>
      <c r="TY147" s="963"/>
      <c r="TZ147" s="963"/>
      <c r="UA147" s="963"/>
      <c r="UB147" s="963"/>
      <c r="UC147" s="963"/>
      <c r="UD147" s="963"/>
      <c r="UE147" s="963"/>
      <c r="UF147" s="963"/>
      <c r="UG147" s="963"/>
      <c r="UH147" s="963"/>
      <c r="UI147" s="963"/>
      <c r="UJ147" s="963"/>
      <c r="UK147" s="963"/>
      <c r="UL147" s="963"/>
      <c r="UM147" s="963"/>
      <c r="UN147" s="963"/>
      <c r="UO147" s="963"/>
      <c r="UP147" s="963"/>
      <c r="UQ147" s="963"/>
      <c r="UR147" s="963"/>
      <c r="US147" s="963"/>
      <c r="UT147" s="963"/>
      <c r="UU147" s="963"/>
      <c r="UV147" s="963"/>
      <c r="UW147" s="963"/>
      <c r="UX147" s="963"/>
      <c r="UY147" s="963"/>
      <c r="UZ147" s="963"/>
      <c r="VA147" s="963"/>
      <c r="VB147" s="963"/>
      <c r="VC147" s="963"/>
      <c r="VD147" s="963"/>
      <c r="VE147" s="963"/>
      <c r="VF147" s="963"/>
      <c r="VG147" s="963"/>
      <c r="VH147" s="963"/>
      <c r="VI147" s="963"/>
      <c r="VJ147" s="963"/>
      <c r="VK147" s="963"/>
      <c r="VL147" s="963"/>
      <c r="VM147" s="963"/>
      <c r="VN147" s="963"/>
      <c r="VO147" s="963"/>
      <c r="VP147" s="963"/>
      <c r="VQ147" s="963"/>
      <c r="VR147" s="963"/>
      <c r="VS147" s="963"/>
      <c r="VT147" s="963"/>
      <c r="VU147" s="963"/>
      <c r="VV147" s="963"/>
      <c r="VW147" s="963"/>
      <c r="VX147" s="963"/>
      <c r="VY147" s="963"/>
      <c r="VZ147" s="963"/>
      <c r="WA147" s="963"/>
      <c r="WB147" s="963"/>
      <c r="WC147" s="963"/>
      <c r="WD147" s="963"/>
      <c r="WE147" s="963"/>
      <c r="WF147" s="963"/>
      <c r="WG147" s="963"/>
      <c r="WH147" s="963"/>
      <c r="WI147" s="963"/>
      <c r="WJ147" s="963"/>
      <c r="WK147" s="963"/>
      <c r="WL147" s="963"/>
      <c r="WM147" s="963"/>
      <c r="WN147" s="963"/>
      <c r="WO147" s="963"/>
      <c r="WP147" s="963"/>
      <c r="WQ147" s="963"/>
      <c r="WR147" s="963"/>
      <c r="WS147" s="963"/>
      <c r="WT147" s="963"/>
      <c r="WU147" s="963"/>
      <c r="WV147" s="963"/>
      <c r="WW147" s="963"/>
      <c r="WX147" s="963"/>
      <c r="WY147" s="963"/>
      <c r="WZ147" s="963"/>
      <c r="XA147" s="963"/>
      <c r="XB147" s="963"/>
      <c r="XC147" s="963"/>
      <c r="XD147" s="963"/>
      <c r="XE147" s="963"/>
      <c r="XF147" s="963"/>
      <c r="XG147" s="963"/>
      <c r="XH147" s="963"/>
      <c r="XI147" s="963"/>
      <c r="XJ147" s="963"/>
      <c r="XK147" s="963"/>
      <c r="XL147" s="963"/>
      <c r="XM147" s="963"/>
      <c r="XN147" s="963"/>
      <c r="XO147" s="963"/>
      <c r="XP147" s="963"/>
      <c r="XQ147" s="963"/>
      <c r="XR147" s="963"/>
      <c r="XS147" s="963"/>
      <c r="XT147" s="963"/>
      <c r="XU147" s="963"/>
      <c r="XV147" s="963"/>
      <c r="XW147" s="963"/>
      <c r="XX147" s="963"/>
      <c r="XY147" s="963"/>
      <c r="XZ147" s="963"/>
      <c r="YA147" s="963"/>
      <c r="YB147" s="963"/>
      <c r="YC147" s="963"/>
      <c r="YD147" s="963"/>
      <c r="YE147" s="963"/>
      <c r="YF147" s="963"/>
      <c r="YG147" s="963"/>
      <c r="YH147" s="963"/>
      <c r="YI147" s="963"/>
      <c r="YJ147" s="963"/>
      <c r="YK147" s="963"/>
      <c r="YL147" s="963"/>
      <c r="YM147" s="963"/>
      <c r="YN147" s="963"/>
      <c r="YO147" s="963"/>
      <c r="YP147" s="963"/>
      <c r="YQ147" s="963"/>
      <c r="YR147" s="963"/>
      <c r="YS147" s="963"/>
      <c r="YT147" s="963"/>
      <c r="YU147" s="963"/>
      <c r="YV147" s="963"/>
      <c r="YW147" s="963"/>
      <c r="YX147" s="963"/>
      <c r="YY147" s="963"/>
      <c r="YZ147" s="963"/>
      <c r="ZA147" s="963"/>
      <c r="ZB147" s="963"/>
      <c r="ZC147" s="963"/>
      <c r="ZD147" s="963"/>
      <c r="ZE147" s="963"/>
      <c r="ZF147" s="963"/>
      <c r="ZG147" s="963"/>
      <c r="ZH147" s="963"/>
      <c r="ZI147" s="963"/>
      <c r="ZJ147" s="963"/>
      <c r="ZK147" s="963"/>
      <c r="ZL147" s="963"/>
      <c r="ZM147" s="963"/>
      <c r="ZN147" s="963"/>
      <c r="ZO147" s="963"/>
      <c r="ZP147" s="963"/>
      <c r="ZQ147" s="963"/>
      <c r="ZR147" s="963"/>
      <c r="ZS147" s="963"/>
      <c r="ZT147" s="963"/>
      <c r="ZU147" s="963"/>
      <c r="ZV147" s="963"/>
      <c r="ZW147" s="963"/>
      <c r="ZX147" s="963"/>
      <c r="ZY147" s="963"/>
      <c r="ZZ147" s="963"/>
      <c r="AAA147" s="963"/>
      <c r="AAB147" s="963"/>
      <c r="AAC147" s="963"/>
      <c r="AAD147" s="963"/>
      <c r="AAE147" s="963"/>
      <c r="AAF147" s="963"/>
      <c r="AAG147" s="963"/>
      <c r="AAH147" s="963"/>
      <c r="AAI147" s="963"/>
      <c r="AAJ147" s="963"/>
      <c r="AAK147" s="963"/>
      <c r="AAL147" s="963"/>
      <c r="AAM147" s="963"/>
      <c r="AAN147" s="963"/>
      <c r="AAO147" s="963"/>
      <c r="AAP147" s="963"/>
      <c r="AAQ147" s="963"/>
      <c r="AAR147" s="963"/>
      <c r="AAS147" s="963"/>
      <c r="AAT147" s="963"/>
      <c r="AAU147" s="963"/>
      <c r="AAV147" s="963"/>
      <c r="AAW147" s="963"/>
      <c r="AAX147" s="963"/>
      <c r="AAY147" s="963"/>
      <c r="AAZ147" s="963"/>
      <c r="ABA147" s="963"/>
      <c r="ABB147" s="963"/>
      <c r="ABC147" s="963"/>
      <c r="ABD147" s="963"/>
      <c r="ABE147" s="963"/>
      <c r="ABF147" s="963"/>
      <c r="ABG147" s="963"/>
      <c r="ABH147" s="963"/>
      <c r="ABI147" s="963"/>
      <c r="ABJ147" s="963"/>
      <c r="ABK147" s="963"/>
      <c r="ABL147" s="963"/>
      <c r="ABM147" s="963"/>
      <c r="ABN147" s="963"/>
      <c r="ABO147" s="963"/>
      <c r="ABP147" s="963"/>
      <c r="ABQ147" s="963"/>
      <c r="ABR147" s="963"/>
      <c r="ABS147" s="963"/>
      <c r="ABT147" s="963"/>
      <c r="ABU147" s="963"/>
      <c r="ABV147" s="963"/>
      <c r="ABW147" s="963"/>
      <c r="ABX147" s="963"/>
      <c r="ABY147" s="963"/>
      <c r="ABZ147" s="963"/>
      <c r="ACA147" s="963"/>
      <c r="ACB147" s="963"/>
      <c r="ACC147" s="963"/>
      <c r="ACD147" s="963"/>
      <c r="ACE147" s="963"/>
      <c r="ACF147" s="963"/>
      <c r="ACG147" s="963"/>
      <c r="ACH147" s="963"/>
      <c r="ACI147" s="963"/>
      <c r="ACJ147" s="963"/>
      <c r="ACK147" s="963"/>
      <c r="ACL147" s="963"/>
      <c r="ACM147" s="963"/>
      <c r="ACN147" s="963"/>
      <c r="ACO147" s="963"/>
      <c r="ACP147" s="963"/>
      <c r="ACQ147" s="963"/>
      <c r="ACR147" s="963"/>
      <c r="ACS147" s="963"/>
      <c r="ACT147" s="963"/>
      <c r="ACU147" s="963"/>
      <c r="ACV147" s="963"/>
      <c r="ACW147" s="963"/>
      <c r="ACX147" s="963"/>
      <c r="ACY147" s="963"/>
      <c r="ACZ147" s="963"/>
      <c r="ADA147" s="963"/>
      <c r="ADB147" s="963"/>
      <c r="ADC147" s="963"/>
      <c r="ADD147" s="963"/>
      <c r="ADE147" s="963"/>
      <c r="ADF147" s="963"/>
      <c r="ADG147" s="963"/>
      <c r="ADH147" s="963"/>
      <c r="ADI147" s="963"/>
      <c r="ADJ147" s="963"/>
      <c r="ADK147" s="963"/>
      <c r="ADL147" s="963"/>
      <c r="ADM147" s="963"/>
      <c r="ADN147" s="963"/>
      <c r="ADO147" s="963"/>
      <c r="ADP147" s="963"/>
      <c r="ADQ147" s="963"/>
      <c r="ADR147" s="963"/>
      <c r="ADS147" s="963"/>
      <c r="ADT147" s="963"/>
      <c r="ADU147" s="963"/>
      <c r="ADV147" s="963"/>
      <c r="ADW147" s="963"/>
      <c r="ADX147" s="963"/>
      <c r="ADY147" s="963"/>
      <c r="ADZ147" s="963"/>
      <c r="AEA147" s="963"/>
      <c r="AEB147" s="963"/>
      <c r="AEC147" s="963"/>
      <c r="AED147" s="963"/>
      <c r="AEE147" s="963"/>
      <c r="AEF147" s="963"/>
      <c r="AEG147" s="963"/>
      <c r="AEH147" s="963"/>
      <c r="AEI147" s="963"/>
      <c r="AEJ147" s="963"/>
      <c r="AEK147" s="963"/>
      <c r="AEL147" s="963"/>
      <c r="AEM147" s="963"/>
      <c r="AEN147" s="963"/>
      <c r="AEO147" s="963"/>
      <c r="AEP147" s="963"/>
      <c r="AEQ147" s="963"/>
      <c r="AER147" s="963"/>
      <c r="AES147" s="963"/>
      <c r="AET147" s="963"/>
      <c r="AEU147" s="963"/>
      <c r="AEV147" s="963"/>
      <c r="AEW147" s="963"/>
      <c r="AEX147" s="963"/>
      <c r="AEY147" s="963"/>
      <c r="AEZ147" s="963"/>
      <c r="AFA147" s="963"/>
      <c r="AFB147" s="963"/>
      <c r="AFC147" s="963"/>
      <c r="AFD147" s="963"/>
      <c r="AFE147" s="963"/>
      <c r="AFF147" s="963"/>
      <c r="AFG147" s="963"/>
      <c r="AFH147" s="963"/>
      <c r="AFI147" s="963"/>
      <c r="AFJ147" s="963"/>
      <c r="AFK147" s="963"/>
      <c r="AFL147" s="963"/>
      <c r="AFM147" s="963"/>
      <c r="AFN147" s="963"/>
      <c r="AFO147" s="963"/>
      <c r="AFP147" s="963"/>
      <c r="AFQ147" s="963"/>
      <c r="AFR147" s="963"/>
      <c r="AFS147" s="963"/>
      <c r="AFT147" s="963"/>
      <c r="AFU147" s="963"/>
      <c r="AFV147" s="963"/>
      <c r="AFW147" s="963"/>
      <c r="AFX147" s="963"/>
      <c r="AFY147" s="963"/>
      <c r="AFZ147" s="963"/>
      <c r="AGA147" s="963"/>
      <c r="AGB147" s="963"/>
      <c r="AGC147" s="963"/>
      <c r="AGD147" s="963"/>
      <c r="AGE147" s="963"/>
      <c r="AGF147" s="963"/>
      <c r="AGG147" s="963"/>
      <c r="AGH147" s="963"/>
      <c r="AGI147" s="963"/>
      <c r="AGJ147" s="963"/>
      <c r="AGK147" s="963"/>
      <c r="AGL147" s="963"/>
      <c r="AGM147" s="963"/>
      <c r="AGN147" s="963"/>
      <c r="AGO147" s="963"/>
      <c r="AGP147" s="963"/>
      <c r="AGQ147" s="963"/>
      <c r="AGR147" s="963"/>
      <c r="AGS147" s="963"/>
      <c r="AGT147" s="963"/>
      <c r="AGU147" s="963"/>
      <c r="AGV147" s="963"/>
      <c r="AGW147" s="963"/>
      <c r="AGX147" s="963"/>
      <c r="AGY147" s="963"/>
      <c r="AGZ147" s="963"/>
      <c r="AHA147" s="963"/>
      <c r="AHB147" s="963"/>
      <c r="AHC147" s="963"/>
      <c r="AHD147" s="963"/>
      <c r="AHE147" s="963"/>
      <c r="AHF147" s="963"/>
      <c r="AHG147" s="963"/>
      <c r="AHH147" s="963"/>
      <c r="AHI147" s="963"/>
      <c r="AHJ147" s="963"/>
      <c r="AHK147" s="963"/>
      <c r="AHL147" s="963"/>
      <c r="AHM147" s="963"/>
      <c r="AHN147" s="963"/>
      <c r="AHO147" s="963"/>
      <c r="AHP147" s="963"/>
      <c r="AHQ147" s="963"/>
      <c r="AHR147" s="963"/>
      <c r="AHS147" s="963"/>
      <c r="AHT147" s="963"/>
      <c r="AHU147" s="963"/>
      <c r="AHV147" s="963"/>
      <c r="AHW147" s="963"/>
      <c r="AHX147" s="963"/>
      <c r="AHY147" s="963"/>
      <c r="AHZ147" s="963"/>
      <c r="AIA147" s="963"/>
      <c r="AIB147" s="963"/>
      <c r="AIC147" s="963"/>
      <c r="AID147" s="963"/>
      <c r="AIE147" s="963"/>
      <c r="AIF147" s="963"/>
      <c r="AIG147" s="963"/>
      <c r="AIH147" s="963"/>
      <c r="AII147" s="963"/>
      <c r="AIJ147" s="963"/>
      <c r="AIK147" s="963"/>
      <c r="AIL147" s="963"/>
      <c r="AIM147" s="963"/>
      <c r="AIN147" s="963"/>
      <c r="AIO147" s="963"/>
      <c r="AIP147" s="963"/>
      <c r="AIQ147" s="963"/>
      <c r="AIR147" s="963"/>
      <c r="AIS147" s="963"/>
      <c r="AIT147" s="963"/>
      <c r="AIU147" s="963"/>
      <c r="AIV147" s="963"/>
      <c r="AIW147" s="963"/>
      <c r="AIX147" s="963"/>
      <c r="AIY147" s="963"/>
      <c r="AIZ147" s="963"/>
      <c r="AJA147" s="963"/>
      <c r="AJB147" s="963"/>
      <c r="AJC147" s="963"/>
      <c r="AJD147" s="963"/>
      <c r="AJE147" s="963"/>
      <c r="AJF147" s="963"/>
      <c r="AJG147" s="963"/>
      <c r="AJH147" s="963"/>
      <c r="AJI147" s="963"/>
      <c r="AJJ147" s="963"/>
      <c r="AJK147" s="963"/>
      <c r="AJL147" s="963"/>
      <c r="AJM147" s="963"/>
      <c r="AJN147" s="963"/>
      <c r="AJO147" s="963"/>
      <c r="AJP147" s="963"/>
      <c r="AJQ147" s="963"/>
      <c r="AJR147" s="963"/>
      <c r="AJS147" s="963"/>
      <c r="AJT147" s="963"/>
      <c r="AJU147" s="963"/>
      <c r="AJV147" s="963"/>
      <c r="AJW147" s="963"/>
      <c r="AJX147" s="963"/>
      <c r="AJY147" s="963"/>
      <c r="AJZ147" s="963"/>
      <c r="AKA147" s="963"/>
      <c r="AKB147" s="963"/>
      <c r="AKC147" s="963"/>
      <c r="AKD147" s="963"/>
      <c r="AKE147" s="963"/>
      <c r="AKF147" s="963"/>
      <c r="AKG147" s="963"/>
      <c r="AKH147" s="963"/>
      <c r="AKI147" s="963"/>
      <c r="AKJ147" s="963"/>
      <c r="AKK147" s="963"/>
      <c r="AKL147" s="963"/>
      <c r="AKM147" s="963"/>
      <c r="AKN147" s="963"/>
      <c r="AKO147" s="963"/>
      <c r="AKP147" s="963"/>
      <c r="AKQ147" s="963"/>
      <c r="AKR147" s="963"/>
      <c r="AKS147" s="963"/>
      <c r="AKT147" s="963"/>
      <c r="AKU147" s="963"/>
      <c r="AKV147" s="963"/>
      <c r="AKW147" s="963"/>
      <c r="AKX147" s="963"/>
      <c r="AKY147" s="963"/>
      <c r="AKZ147" s="963"/>
      <c r="ALA147" s="963"/>
      <c r="ALB147" s="963"/>
      <c r="ALC147" s="963"/>
      <c r="ALD147" s="963"/>
      <c r="ALE147" s="963"/>
      <c r="ALF147" s="963"/>
      <c r="ALG147" s="963"/>
      <c r="ALH147" s="963"/>
      <c r="ALI147" s="963"/>
      <c r="ALJ147" s="963"/>
      <c r="ALK147" s="963"/>
      <c r="ALL147" s="963"/>
      <c r="ALM147" s="963"/>
      <c r="ALN147" s="963"/>
      <c r="ALO147" s="963"/>
      <c r="ALP147" s="963"/>
      <c r="ALQ147" s="963"/>
      <c r="ALR147" s="963"/>
      <c r="ALS147" s="963"/>
      <c r="ALT147" s="963"/>
      <c r="ALU147" s="963"/>
      <c r="ALV147" s="963"/>
      <c r="ALW147" s="963"/>
      <c r="ALX147" s="963"/>
      <c r="ALY147" s="963"/>
      <c r="ALZ147" s="963"/>
      <c r="AMA147" s="963"/>
      <c r="AMB147" s="963"/>
      <c r="AMC147" s="963"/>
      <c r="AMD147" s="963"/>
      <c r="AME147" s="963"/>
      <c r="AMF147" s="963"/>
      <c r="AMG147" s="963"/>
      <c r="AMH147" s="963"/>
      <c r="AMI147" s="963"/>
      <c r="AMJ147" s="963"/>
      <c r="AMK147" s="963"/>
    </row>
    <row r="148" spans="1:1025">
      <c r="A148" s="1280"/>
      <c r="B148" s="1280"/>
      <c r="C148" s="898"/>
      <c r="D148" s="920"/>
      <c r="E148" s="937"/>
      <c r="F148" s="959"/>
    </row>
    <row r="149" spans="1:1025">
      <c r="A149" s="1280" t="s">
        <v>284</v>
      </c>
      <c r="B149" s="1280" t="s">
        <v>101</v>
      </c>
      <c r="C149" s="909">
        <f>'5.'!D159</f>
        <v>20665000</v>
      </c>
      <c r="D149" s="929">
        <f>'5.'!E159</f>
        <v>20665000</v>
      </c>
      <c r="E149" s="947">
        <f>'5.'!F159</f>
        <v>0</v>
      </c>
      <c r="F149" s="958">
        <v>0</v>
      </c>
    </row>
    <row r="150" spans="1:1025">
      <c r="A150" s="9"/>
      <c r="B150" s="115"/>
      <c r="C150" s="899"/>
      <c r="D150" s="921"/>
      <c r="E150" s="934"/>
      <c r="F150" s="950"/>
    </row>
    <row r="151" spans="1:1025" ht="20.25" customHeight="1">
      <c r="A151" s="2176" t="s">
        <v>285</v>
      </c>
      <c r="B151" s="2176"/>
      <c r="C151" s="902">
        <f>SUM(C143:C150)</f>
        <v>2811995000</v>
      </c>
      <c r="D151" s="924">
        <f>SUM(D143:D150)</f>
        <v>2978860000</v>
      </c>
      <c r="E151" s="938">
        <f>SUM(E143:E150)</f>
        <v>669737657.75999999</v>
      </c>
      <c r="F151" s="953">
        <f>E151/D151</f>
        <v>0.22483018932074686</v>
      </c>
    </row>
    <row r="152" spans="1:1025">
      <c r="A152" s="216"/>
      <c r="B152" s="216"/>
      <c r="C152" s="902"/>
      <c r="D152" s="924"/>
      <c r="E152" s="934"/>
      <c r="F152" s="953"/>
    </row>
    <row r="153" spans="1:1025">
      <c r="A153" s="1"/>
      <c r="B153" s="115"/>
      <c r="C153" s="899"/>
      <c r="D153" s="921"/>
      <c r="E153" s="934"/>
      <c r="F153" s="953"/>
    </row>
    <row r="154" spans="1:1025">
      <c r="A154" s="2179" t="s">
        <v>286</v>
      </c>
      <c r="B154" s="2179"/>
      <c r="C154" s="2179"/>
      <c r="D154" s="2179"/>
      <c r="E154" s="2179"/>
      <c r="F154" s="2179"/>
    </row>
    <row r="155" spans="1:1025">
      <c r="A155" s="1280"/>
      <c r="B155" s="1279" t="s">
        <v>287</v>
      </c>
      <c r="C155" s="898">
        <v>21153870</v>
      </c>
      <c r="D155" s="920">
        <v>293000938</v>
      </c>
      <c r="E155" s="937">
        <v>293000938</v>
      </c>
      <c r="F155" s="959">
        <f>E155/D155</f>
        <v>1</v>
      </c>
    </row>
    <row r="156" spans="1:1025">
      <c r="A156" s="1"/>
      <c r="B156" s="115"/>
      <c r="C156" s="899"/>
      <c r="D156" s="921"/>
      <c r="E156" s="934"/>
      <c r="F156" s="950"/>
    </row>
    <row r="157" spans="1:1025" ht="26.25" customHeight="1">
      <c r="A157" s="2177" t="s">
        <v>288</v>
      </c>
      <c r="B157" s="2177"/>
      <c r="C157" s="911">
        <f>C139+C151+C155</f>
        <v>4310827870</v>
      </c>
      <c r="D157" s="931">
        <f>D139+D151+D155</f>
        <v>5337528938</v>
      </c>
      <c r="E157" s="948">
        <f>E139+E151+E155</f>
        <v>1918363898.76</v>
      </c>
      <c r="F157" s="953">
        <f>E157/D157</f>
        <v>0.3594104914546507</v>
      </c>
    </row>
    <row r="161" ht="16.5" customHeight="1"/>
  </sheetData>
  <mergeCells count="45">
    <mergeCell ref="A81:F81"/>
    <mergeCell ref="A88:F88"/>
    <mergeCell ref="A151:B151"/>
    <mergeCell ref="A157:B157"/>
    <mergeCell ref="A139:B139"/>
    <mergeCell ref="A143:B143"/>
    <mergeCell ref="A145:B145"/>
    <mergeCell ref="A147:B147"/>
    <mergeCell ref="A141:F141"/>
    <mergeCell ref="A154:F154"/>
    <mergeCell ref="A89:B89"/>
    <mergeCell ref="A90:B90"/>
    <mergeCell ref="A97:B97"/>
    <mergeCell ref="A118:B118"/>
    <mergeCell ref="A95:B95"/>
    <mergeCell ref="A72:B72"/>
    <mergeCell ref="A73:B73"/>
    <mergeCell ref="A74:B74"/>
    <mergeCell ref="A75:B75"/>
    <mergeCell ref="A76:B76"/>
    <mergeCell ref="A60:B60"/>
    <mergeCell ref="A62:B62"/>
    <mergeCell ref="A63:B63"/>
    <mergeCell ref="A66:B66"/>
    <mergeCell ref="A67:B67"/>
    <mergeCell ref="A50:B50"/>
    <mergeCell ref="A53:B53"/>
    <mergeCell ref="A54:B54"/>
    <mergeCell ref="A58:B58"/>
    <mergeCell ref="A59:B59"/>
    <mergeCell ref="A55:B55"/>
    <mergeCell ref="A56:B56"/>
    <mergeCell ref="A57:B57"/>
    <mergeCell ref="A42:B42"/>
    <mergeCell ref="A43:B43"/>
    <mergeCell ref="A44:B44"/>
    <mergeCell ref="A48:B48"/>
    <mergeCell ref="A49:B49"/>
    <mergeCell ref="A1:F1"/>
    <mergeCell ref="A3:F3"/>
    <mergeCell ref="A4:F4"/>
    <mergeCell ref="A41:B41"/>
    <mergeCell ref="A5:B6"/>
    <mergeCell ref="A32:F32"/>
    <mergeCell ref="A39:F39"/>
  </mergeCells>
  <phoneticPr fontId="74" type="noConversion"/>
  <printOptions headings="1"/>
  <pageMargins left="0.70866141732283472" right="0.70866141732283472" top="0.74803149606299213" bottom="0.74803149606299213" header="0.31496062992125984" footer="0.51181102362204722"/>
  <pageSetup paperSize="9" scale="67" firstPageNumber="0" fitToHeight="0" orientation="portrait" r:id="rId1"/>
  <headerFooter>
    <oddHeader xml:space="preserve">&amp;R&amp;A melléklet a /2026.(V.28.) önkormányzati rendelethez/ &amp;P.oldal
</oddHeader>
  </headerFooter>
  <rowBreaks count="1" manualBreakCount="1">
    <brk id="65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86"/>
  <sheetViews>
    <sheetView zoomScaleNormal="100" workbookViewId="0">
      <selection activeCell="H4" sqref="H4"/>
    </sheetView>
  </sheetViews>
  <sheetFormatPr defaultRowHeight="15.75"/>
  <cols>
    <col min="1" max="1" width="5.85546875" style="1"/>
    <col min="2" max="2" width="56.28515625" style="1"/>
    <col min="3" max="3" width="11.7109375" style="967"/>
    <col min="4" max="4" width="13.42578125" style="982" bestFit="1" customWidth="1"/>
    <col min="5" max="5" width="13.42578125" style="990" bestFit="1" customWidth="1"/>
    <col min="6" max="6" width="12.28515625" style="1003" bestFit="1" customWidth="1"/>
    <col min="7" max="7" width="9.28515625"/>
    <col min="8" max="8" width="10.5703125"/>
    <col min="9" max="1025" width="8.7109375"/>
  </cols>
  <sheetData>
    <row r="1" spans="1:8" ht="12.75">
      <c r="A1" s="115"/>
      <c r="B1" s="115"/>
      <c r="C1" s="1872"/>
      <c r="D1" s="1872"/>
      <c r="E1" s="1872"/>
      <c r="F1" s="1340"/>
    </row>
    <row r="2" spans="1:8" ht="18.75">
      <c r="A2" s="2134" t="s">
        <v>169</v>
      </c>
      <c r="B2" s="2134"/>
      <c r="C2" s="2134"/>
      <c r="D2" s="2134"/>
      <c r="E2" s="2134"/>
      <c r="F2" s="2134"/>
    </row>
    <row r="3" spans="1:8" ht="12.75">
      <c r="A3" s="115"/>
      <c r="B3" s="115"/>
      <c r="C3" s="1872"/>
      <c r="D3" s="1872"/>
      <c r="E3" s="1872"/>
      <c r="F3" s="1340"/>
    </row>
    <row r="4" spans="1:8" ht="18.75">
      <c r="A4" s="2134" t="s">
        <v>289</v>
      </c>
      <c r="B4" s="2134"/>
      <c r="C4" s="2134"/>
      <c r="D4" s="2134"/>
      <c r="E4" s="2134"/>
      <c r="F4" s="2134"/>
    </row>
    <row r="5" spans="1:8" ht="18.75">
      <c r="A5" s="2134" t="s">
        <v>1533</v>
      </c>
      <c r="B5" s="2134"/>
      <c r="C5" s="2134"/>
      <c r="D5" s="2134"/>
      <c r="E5" s="2134"/>
      <c r="F5" s="2134"/>
    </row>
    <row r="6" spans="1:8">
      <c r="A6" s="162"/>
      <c r="B6" s="115"/>
      <c r="C6" s="1872"/>
      <c r="D6" s="1872"/>
      <c r="E6" s="1873" t="s">
        <v>38</v>
      </c>
      <c r="F6" s="1340"/>
    </row>
    <row r="7" spans="1:8" ht="31.5">
      <c r="A7" s="208" t="s">
        <v>191</v>
      </c>
      <c r="B7" s="13"/>
      <c r="C7" s="966" t="s">
        <v>46</v>
      </c>
      <c r="D7" s="975" t="s">
        <v>47</v>
      </c>
      <c r="E7" s="983" t="s">
        <v>48</v>
      </c>
      <c r="F7" s="991" t="s">
        <v>290</v>
      </c>
    </row>
    <row r="8" spans="1:8">
      <c r="A8" s="3" t="s">
        <v>192</v>
      </c>
      <c r="B8" s="115"/>
      <c r="D8" s="1365"/>
      <c r="E8" s="1366"/>
      <c r="F8" s="1367"/>
    </row>
    <row r="9" spans="1:8">
      <c r="A9" s="162" t="s">
        <v>49</v>
      </c>
      <c r="B9" s="133" t="s">
        <v>193</v>
      </c>
      <c r="C9" s="968">
        <v>128229000</v>
      </c>
      <c r="D9" s="976">
        <v>135932000</v>
      </c>
      <c r="E9" s="984">
        <v>135150000</v>
      </c>
      <c r="F9" s="992">
        <f>E9/D9</f>
        <v>0.99424712356178091</v>
      </c>
    </row>
    <row r="10" spans="1:8">
      <c r="A10" s="162" t="s">
        <v>51</v>
      </c>
      <c r="B10" s="133" t="s">
        <v>194</v>
      </c>
      <c r="C10" s="894">
        <v>0</v>
      </c>
      <c r="D10" s="976">
        <v>6923000</v>
      </c>
      <c r="E10" s="984">
        <v>6917000</v>
      </c>
      <c r="F10" s="992">
        <f>E10/D10</f>
        <v>0.99913332370359675</v>
      </c>
    </row>
    <row r="11" spans="1:8">
      <c r="A11" s="162" t="s">
        <v>53</v>
      </c>
      <c r="B11" s="133" t="s">
        <v>195</v>
      </c>
      <c r="C11" s="894">
        <v>0</v>
      </c>
      <c r="D11" s="916">
        <v>0</v>
      </c>
      <c r="E11" s="935">
        <v>0</v>
      </c>
      <c r="F11" s="992">
        <v>0</v>
      </c>
    </row>
    <row r="12" spans="1:8">
      <c r="A12" s="162" t="s">
        <v>55</v>
      </c>
      <c r="B12" s="133" t="s">
        <v>196</v>
      </c>
      <c r="C12" s="894">
        <v>0</v>
      </c>
      <c r="D12" s="916">
        <v>0</v>
      </c>
      <c r="E12" s="935">
        <v>0</v>
      </c>
      <c r="F12" s="992">
        <v>0</v>
      </c>
    </row>
    <row r="13" spans="1:8">
      <c r="A13" s="162" t="s">
        <v>58</v>
      </c>
      <c r="B13" s="133" t="s">
        <v>197</v>
      </c>
      <c r="C13" s="894">
        <v>0</v>
      </c>
      <c r="D13" s="916">
        <v>0</v>
      </c>
      <c r="E13" s="935">
        <v>0</v>
      </c>
      <c r="F13" s="992">
        <v>0</v>
      </c>
    </row>
    <row r="14" spans="1:8">
      <c r="A14" s="162" t="s">
        <v>60</v>
      </c>
      <c r="B14" s="133" t="s">
        <v>198</v>
      </c>
      <c r="C14" s="968">
        <v>9887000</v>
      </c>
      <c r="D14" s="976">
        <v>12056600</v>
      </c>
      <c r="E14" s="984">
        <v>12057000</v>
      </c>
      <c r="F14" s="992">
        <f t="shared" ref="F14:F20" si="0">E14/D14</f>
        <v>1.0000331768491946</v>
      </c>
      <c r="H14" s="5">
        <v>0</v>
      </c>
    </row>
    <row r="15" spans="1:8">
      <c r="A15" s="162" t="s">
        <v>62</v>
      </c>
      <c r="B15" s="133" t="s">
        <v>1503</v>
      </c>
      <c r="C15" s="968">
        <v>9600000</v>
      </c>
      <c r="D15" s="976">
        <v>9600000</v>
      </c>
      <c r="E15" s="984">
        <v>9595000</v>
      </c>
      <c r="F15" s="992">
        <f t="shared" si="0"/>
        <v>0.9994791666666667</v>
      </c>
    </row>
    <row r="16" spans="1:8">
      <c r="A16" s="162" t="s">
        <v>65</v>
      </c>
      <c r="B16" s="133" t="s">
        <v>200</v>
      </c>
      <c r="C16" s="968">
        <v>200000</v>
      </c>
      <c r="D16" s="976">
        <v>100000</v>
      </c>
      <c r="E16" s="984">
        <v>89000</v>
      </c>
      <c r="F16" s="992">
        <f t="shared" si="0"/>
        <v>0.89</v>
      </c>
    </row>
    <row r="17" spans="1:6">
      <c r="A17" s="162" t="s">
        <v>96</v>
      </c>
      <c r="B17" s="133" t="s">
        <v>201</v>
      </c>
      <c r="C17" s="968">
        <v>350000</v>
      </c>
      <c r="D17" s="976">
        <v>650000</v>
      </c>
      <c r="E17" s="984">
        <v>614000</v>
      </c>
      <c r="F17" s="992">
        <f t="shared" si="0"/>
        <v>0.94461538461538463</v>
      </c>
    </row>
    <row r="18" spans="1:6">
      <c r="A18" s="162" t="s">
        <v>98</v>
      </c>
      <c r="B18" s="133" t="s">
        <v>291</v>
      </c>
      <c r="C18" s="968">
        <v>3000000</v>
      </c>
      <c r="D18" s="916">
        <v>0</v>
      </c>
      <c r="E18" s="935">
        <v>0</v>
      </c>
      <c r="F18" s="992">
        <v>0</v>
      </c>
    </row>
    <row r="19" spans="1:6">
      <c r="A19" s="162" t="s">
        <v>100</v>
      </c>
      <c r="B19" s="133" t="s">
        <v>203</v>
      </c>
      <c r="C19" s="968">
        <v>1000000</v>
      </c>
      <c r="D19" s="976">
        <v>4435000</v>
      </c>
      <c r="E19" s="984">
        <v>4419000</v>
      </c>
      <c r="F19" s="992">
        <f t="shared" si="0"/>
        <v>0.99639233370913194</v>
      </c>
    </row>
    <row r="20" spans="1:6" s="1004" customFormat="1">
      <c r="A20" s="1368"/>
      <c r="B20" s="12" t="s">
        <v>204</v>
      </c>
      <c r="C20" s="1369">
        <f>SUM(C9:C19)</f>
        <v>152266000</v>
      </c>
      <c r="D20" s="1370">
        <f>SUM(D9:D19)</f>
        <v>169696600</v>
      </c>
      <c r="E20" s="1371">
        <f>SUM(E9:E19)</f>
        <v>168841000</v>
      </c>
      <c r="F20" s="1372">
        <f t="shared" si="0"/>
        <v>0.99495806044434598</v>
      </c>
    </row>
    <row r="21" spans="1:6">
      <c r="A21" s="162"/>
      <c r="B21" s="115"/>
      <c r="D21" s="1365"/>
      <c r="E21" s="1366"/>
      <c r="F21" s="993"/>
    </row>
    <row r="22" spans="1:6">
      <c r="A22" s="3" t="s">
        <v>205</v>
      </c>
      <c r="B22" s="115"/>
      <c r="D22" s="916"/>
      <c r="E22" s="1366"/>
      <c r="F22" s="994"/>
    </row>
    <row r="23" spans="1:6">
      <c r="A23" s="162" t="s">
        <v>49</v>
      </c>
      <c r="B23" s="133" t="s">
        <v>206</v>
      </c>
      <c r="C23" s="894">
        <v>0</v>
      </c>
      <c r="D23" s="916">
        <v>0</v>
      </c>
      <c r="E23" s="935">
        <v>0</v>
      </c>
      <c r="F23" s="995">
        <v>0</v>
      </c>
    </row>
    <row r="24" spans="1:6">
      <c r="A24" s="162" t="s">
        <v>51</v>
      </c>
      <c r="B24" s="133" t="s">
        <v>292</v>
      </c>
      <c r="C24" s="894">
        <v>0</v>
      </c>
      <c r="D24" s="916">
        <v>0</v>
      </c>
      <c r="E24" s="935">
        <v>0</v>
      </c>
      <c r="F24" s="995">
        <v>0</v>
      </c>
    </row>
    <row r="25" spans="1:6">
      <c r="A25" s="162" t="s">
        <v>53</v>
      </c>
      <c r="B25" s="133" t="s">
        <v>209</v>
      </c>
      <c r="C25" s="968">
        <v>200000</v>
      </c>
      <c r="D25" s="976">
        <v>600000</v>
      </c>
      <c r="E25" s="984">
        <v>455000</v>
      </c>
      <c r="F25" s="995">
        <f>E25/D25</f>
        <v>0.7583333333333333</v>
      </c>
    </row>
    <row r="26" spans="1:6">
      <c r="A26" s="162" t="s">
        <v>55</v>
      </c>
      <c r="B26" s="10" t="s">
        <v>293</v>
      </c>
      <c r="C26" s="894">
        <v>0</v>
      </c>
      <c r="D26" s="916">
        <v>0</v>
      </c>
      <c r="E26" s="935">
        <v>0</v>
      </c>
      <c r="F26" s="995">
        <v>0</v>
      </c>
    </row>
    <row r="27" spans="1:6">
      <c r="A27" s="209"/>
      <c r="B27" s="14" t="s">
        <v>211</v>
      </c>
      <c r="C27" s="1369">
        <f>SUM(C23:C26)</f>
        <v>200000</v>
      </c>
      <c r="D27" s="1370">
        <f>SUM(D23:D26)</f>
        <v>600000</v>
      </c>
      <c r="E27" s="1371">
        <f>SUM(E25:E26)</f>
        <v>455000</v>
      </c>
      <c r="F27" s="1372">
        <f>E27/D27</f>
        <v>0.7583333333333333</v>
      </c>
    </row>
    <row r="28" spans="1:6">
      <c r="A28" s="162"/>
      <c r="B28" s="115"/>
      <c r="C28" s="968"/>
      <c r="D28" s="976"/>
      <c r="E28" s="984"/>
      <c r="F28" s="994"/>
    </row>
    <row r="29" spans="1:6" ht="16.5">
      <c r="A29" s="115"/>
      <c r="B29" s="1373" t="s">
        <v>212</v>
      </c>
      <c r="C29" s="969">
        <f>C20+C27</f>
        <v>152466000</v>
      </c>
      <c r="D29" s="977">
        <f>D20+D27</f>
        <v>170296600</v>
      </c>
      <c r="E29" s="985">
        <f>E20+E27</f>
        <v>169296000</v>
      </c>
      <c r="F29" s="996">
        <f>E29/D29</f>
        <v>0.99412436889520994</v>
      </c>
    </row>
    <row r="30" spans="1:6">
      <c r="A30" s="162"/>
      <c r="B30" s="115"/>
      <c r="D30" s="1365"/>
      <c r="E30" s="1366"/>
      <c r="F30" s="994"/>
    </row>
    <row r="31" spans="1:6">
      <c r="A31" s="3" t="s">
        <v>213</v>
      </c>
      <c r="B31" s="115"/>
      <c r="D31" s="1365"/>
      <c r="E31" s="1366"/>
      <c r="F31" s="994"/>
    </row>
    <row r="32" spans="1:6">
      <c r="A32" s="162" t="s">
        <v>49</v>
      </c>
      <c r="B32" s="1" t="s">
        <v>1502</v>
      </c>
      <c r="C32" s="968">
        <v>19431000</v>
      </c>
      <c r="D32" s="976">
        <v>23390000</v>
      </c>
      <c r="E32" s="984">
        <v>21636000</v>
      </c>
      <c r="F32" s="995">
        <f>E32/D32</f>
        <v>0.92501068832834543</v>
      </c>
    </row>
    <row r="33" spans="1:6">
      <c r="A33" s="162" t="s">
        <v>51</v>
      </c>
      <c r="B33" s="1" t="s">
        <v>215</v>
      </c>
      <c r="C33" s="894">
        <v>0</v>
      </c>
      <c r="D33" s="916">
        <v>0</v>
      </c>
      <c r="E33" s="984">
        <v>77000</v>
      </c>
      <c r="F33" s="995">
        <v>0</v>
      </c>
    </row>
    <row r="34" spans="1:6">
      <c r="A34" s="162" t="s">
        <v>53</v>
      </c>
      <c r="B34" s="10" t="s">
        <v>216</v>
      </c>
      <c r="C34" s="894">
        <v>0</v>
      </c>
      <c r="D34" s="916">
        <v>0</v>
      </c>
      <c r="E34" s="984">
        <v>1677000</v>
      </c>
      <c r="F34" s="995">
        <v>0</v>
      </c>
    </row>
    <row r="35" spans="1:6">
      <c r="A35" s="210"/>
      <c r="B35" s="12" t="s">
        <v>217</v>
      </c>
      <c r="C35" s="1369">
        <f>SUM(C32:C34)</f>
        <v>19431000</v>
      </c>
      <c r="D35" s="1370">
        <f>SUM(D32:D34)</f>
        <v>23390000</v>
      </c>
      <c r="E35" s="1371">
        <f>SUM(E32:E34)</f>
        <v>23390000</v>
      </c>
      <c r="F35" s="996">
        <f>E35/D35</f>
        <v>1</v>
      </c>
    </row>
    <row r="36" spans="1:6">
      <c r="A36" s="210"/>
      <c r="B36" s="14"/>
      <c r="C36" s="970"/>
      <c r="D36" s="1365"/>
      <c r="E36" s="1366"/>
      <c r="F36" s="1367"/>
    </row>
    <row r="37" spans="1:6">
      <c r="A37" s="2183" t="s">
        <v>218</v>
      </c>
      <c r="B37" s="2183"/>
      <c r="D37" s="1365"/>
      <c r="E37" s="1366"/>
      <c r="F37" s="1367"/>
    </row>
    <row r="38" spans="1:6">
      <c r="A38" s="3"/>
      <c r="B38" s="115"/>
      <c r="D38" s="1365"/>
      <c r="E38" s="1366"/>
      <c r="F38" s="1367"/>
    </row>
    <row r="39" spans="1:6">
      <c r="A39" s="2169" t="s">
        <v>219</v>
      </c>
      <c r="B39" s="2169"/>
      <c r="D39" s="1365"/>
      <c r="E39" s="1366"/>
      <c r="F39" s="1367"/>
    </row>
    <row r="40" spans="1:6">
      <c r="A40" s="2172" t="s">
        <v>220</v>
      </c>
      <c r="B40" s="2172"/>
      <c r="C40" s="967">
        <v>291000</v>
      </c>
      <c r="D40" s="1365">
        <v>291000</v>
      </c>
      <c r="E40" s="1366">
        <v>177000</v>
      </c>
      <c r="F40" s="1374">
        <f>E40/D40</f>
        <v>0.60824742268041232</v>
      </c>
    </row>
    <row r="41" spans="1:6">
      <c r="A41" s="2172" t="s">
        <v>221</v>
      </c>
      <c r="B41" s="2172"/>
      <c r="C41" s="968">
        <v>3200000</v>
      </c>
      <c r="D41" s="976">
        <v>3200000</v>
      </c>
      <c r="E41" s="984">
        <v>2619000</v>
      </c>
      <c r="F41" s="1374">
        <f>E41/D41</f>
        <v>0.81843750000000004</v>
      </c>
    </row>
    <row r="42" spans="1:6">
      <c r="A42" s="2172" t="s">
        <v>222</v>
      </c>
      <c r="B42" s="2172"/>
      <c r="C42" s="1855">
        <v>0</v>
      </c>
      <c r="D42" s="1856">
        <v>0</v>
      </c>
      <c r="E42" s="943">
        <v>0</v>
      </c>
      <c r="F42" s="998">
        <v>0</v>
      </c>
    </row>
    <row r="43" spans="1:6" s="962" customFormat="1">
      <c r="A43" s="162"/>
      <c r="B43" s="8" t="s">
        <v>223</v>
      </c>
      <c r="C43" s="970">
        <f>SUM(C40:C42)</f>
        <v>3491000</v>
      </c>
      <c r="D43" s="978">
        <f>SUM(D40:D42)</f>
        <v>3491000</v>
      </c>
      <c r="E43" s="986">
        <f>SUM(E40:E42)</f>
        <v>2796000</v>
      </c>
      <c r="F43" s="997">
        <f>E43/D43</f>
        <v>0.80091664279576058</v>
      </c>
    </row>
    <row r="44" spans="1:6" s="962" customFormat="1">
      <c r="A44" s="162"/>
      <c r="B44" s="8"/>
      <c r="C44" s="970"/>
      <c r="D44" s="978"/>
      <c r="E44" s="986"/>
      <c r="F44" s="997"/>
    </row>
    <row r="45" spans="1:6">
      <c r="A45" s="2169" t="s">
        <v>225</v>
      </c>
      <c r="B45" s="2169"/>
      <c r="C45" s="968"/>
      <c r="D45" s="1365"/>
      <c r="E45" s="1366"/>
      <c r="F45" s="997"/>
    </row>
    <row r="46" spans="1:6">
      <c r="A46" s="2172" t="s">
        <v>226</v>
      </c>
      <c r="B46" s="2172"/>
      <c r="C46" s="968">
        <v>2800000</v>
      </c>
      <c r="D46" s="1365">
        <v>3131000</v>
      </c>
      <c r="E46" s="1366">
        <v>2975000</v>
      </c>
      <c r="F46" s="997">
        <f>E46/D46</f>
        <v>0.95017566272756304</v>
      </c>
    </row>
    <row r="47" spans="1:6">
      <c r="A47" s="2172" t="s">
        <v>227</v>
      </c>
      <c r="B47" s="2172"/>
      <c r="C47" s="907">
        <v>300000</v>
      </c>
      <c r="D47" s="979">
        <v>500000</v>
      </c>
      <c r="E47" s="987">
        <v>152000</v>
      </c>
      <c r="F47" s="999">
        <f>E47/D47</f>
        <v>0.30399999999999999</v>
      </c>
    </row>
    <row r="48" spans="1:6">
      <c r="A48" s="162"/>
      <c r="B48" s="8" t="s">
        <v>228</v>
      </c>
      <c r="C48" s="970">
        <f>SUM(C46:C47)</f>
        <v>3100000</v>
      </c>
      <c r="D48" s="978">
        <f>SUM(D46:D47)</f>
        <v>3631000</v>
      </c>
      <c r="E48" s="986">
        <f>SUM(E46:E47)</f>
        <v>3127000</v>
      </c>
      <c r="F48" s="997">
        <f>E48/D48</f>
        <v>0.86119526301294413</v>
      </c>
    </row>
    <row r="49" spans="1:6">
      <c r="A49" s="162"/>
      <c r="B49" s="115"/>
      <c r="C49" s="968"/>
      <c r="D49" s="1365"/>
      <c r="E49" s="1366"/>
      <c r="F49" s="1367"/>
    </row>
    <row r="50" spans="1:6">
      <c r="A50" s="2169" t="s">
        <v>229</v>
      </c>
      <c r="B50" s="2169"/>
      <c r="C50" s="968"/>
      <c r="D50" s="1365"/>
      <c r="E50" s="1366"/>
      <c r="F50" s="1367"/>
    </row>
    <row r="51" spans="1:6">
      <c r="A51" s="2172" t="s">
        <v>1627</v>
      </c>
      <c r="B51" s="2172"/>
      <c r="C51" s="968">
        <v>2200000</v>
      </c>
      <c r="D51" s="982">
        <v>2220000</v>
      </c>
      <c r="E51" s="1005">
        <v>1092000</v>
      </c>
      <c r="F51" s="992">
        <f>E51/D51</f>
        <v>0.49189189189189192</v>
      </c>
    </row>
    <row r="52" spans="1:6">
      <c r="A52" s="2172" t="s">
        <v>1628</v>
      </c>
      <c r="B52" s="2172"/>
      <c r="C52" s="968">
        <v>6000000</v>
      </c>
      <c r="D52" s="982">
        <v>5390000</v>
      </c>
      <c r="E52" s="1005">
        <v>4181000</v>
      </c>
      <c r="F52" s="992">
        <f t="shared" ref="F52:F53" si="1">E52/D52</f>
        <v>0.77569573283858995</v>
      </c>
    </row>
    <row r="53" spans="1:6">
      <c r="A53" s="2172" t="s">
        <v>1629</v>
      </c>
      <c r="B53" s="2172"/>
      <c r="C53" s="968">
        <v>700000</v>
      </c>
      <c r="D53" s="982">
        <v>1480000</v>
      </c>
      <c r="E53" s="1005">
        <v>1088000</v>
      </c>
      <c r="F53" s="992">
        <f t="shared" si="1"/>
        <v>0.73513513513513518</v>
      </c>
    </row>
    <row r="54" spans="1:6">
      <c r="A54" s="2172" t="s">
        <v>230</v>
      </c>
      <c r="B54" s="2172"/>
      <c r="C54" s="894">
        <v>0</v>
      </c>
      <c r="D54" s="916">
        <v>0</v>
      </c>
      <c r="E54" s="935">
        <v>0</v>
      </c>
      <c r="F54" s="992">
        <v>0</v>
      </c>
    </row>
    <row r="55" spans="1:6">
      <c r="A55" s="2172" t="s">
        <v>231</v>
      </c>
      <c r="B55" s="2172"/>
      <c r="C55" s="968">
        <v>150000</v>
      </c>
      <c r="D55" s="976">
        <v>150000</v>
      </c>
      <c r="E55" s="935">
        <v>0</v>
      </c>
      <c r="F55" s="992">
        <f t="shared" ref="F55:F60" si="2">E55/D55</f>
        <v>0</v>
      </c>
    </row>
    <row r="56" spans="1:6">
      <c r="A56" s="2172" t="s">
        <v>232</v>
      </c>
      <c r="B56" s="2172"/>
      <c r="C56" s="968">
        <v>2500000</v>
      </c>
      <c r="D56" s="976">
        <v>3410000</v>
      </c>
      <c r="E56" s="984">
        <v>3323000</v>
      </c>
      <c r="F56" s="992">
        <f t="shared" si="2"/>
        <v>0.97448680351906158</v>
      </c>
    </row>
    <row r="57" spans="1:6">
      <c r="A57" s="11" t="s">
        <v>233</v>
      </c>
      <c r="B57" s="11"/>
      <c r="C57" s="968">
        <v>170000</v>
      </c>
      <c r="D57" s="976">
        <v>190000</v>
      </c>
      <c r="E57" s="984">
        <v>168000</v>
      </c>
      <c r="F57" s="992">
        <f t="shared" si="2"/>
        <v>0.88421052631578945</v>
      </c>
    </row>
    <row r="58" spans="1:6">
      <c r="A58" s="2172" t="s">
        <v>234</v>
      </c>
      <c r="B58" s="2172"/>
      <c r="C58" s="968">
        <v>650000</v>
      </c>
      <c r="D58" s="976">
        <v>875000</v>
      </c>
      <c r="E58" s="984">
        <v>848000</v>
      </c>
      <c r="F58" s="992">
        <f t="shared" si="2"/>
        <v>0.96914285714285719</v>
      </c>
    </row>
    <row r="59" spans="1:6">
      <c r="A59" s="2172" t="s">
        <v>235</v>
      </c>
      <c r="B59" s="2172"/>
      <c r="C59" s="907">
        <v>4295000</v>
      </c>
      <c r="D59" s="979">
        <v>4845000</v>
      </c>
      <c r="E59" s="987">
        <v>4676000</v>
      </c>
      <c r="F59" s="999">
        <f t="shared" si="2"/>
        <v>0.96511867905056758</v>
      </c>
    </row>
    <row r="60" spans="1:6">
      <c r="A60" s="162"/>
      <c r="B60" s="8" t="s">
        <v>236</v>
      </c>
      <c r="C60" s="1375">
        <f>SUM(C51:C59)</f>
        <v>16665000</v>
      </c>
      <c r="D60" s="1376">
        <f>SUM(D51:D59)</f>
        <v>18560000</v>
      </c>
      <c r="E60" s="1377">
        <f>SUM(E51:E59)</f>
        <v>15376000</v>
      </c>
      <c r="F60" s="997">
        <f t="shared" si="2"/>
        <v>0.82844827586206893</v>
      </c>
    </row>
    <row r="61" spans="1:6">
      <c r="A61" s="162"/>
      <c r="B61" s="115"/>
      <c r="C61" s="968"/>
      <c r="D61" s="1365"/>
      <c r="E61" s="1366"/>
      <c r="F61" s="1367"/>
    </row>
    <row r="62" spans="1:6">
      <c r="A62" s="2169" t="s">
        <v>237</v>
      </c>
      <c r="B62" s="2169"/>
      <c r="C62" s="968"/>
      <c r="D62" s="1365"/>
      <c r="E62" s="1366"/>
      <c r="F62" s="1367"/>
    </row>
    <row r="63" spans="1:6">
      <c r="A63" s="2173" t="s">
        <v>238</v>
      </c>
      <c r="B63" s="2173"/>
      <c r="C63" s="968"/>
      <c r="D63" s="1365"/>
      <c r="E63" s="1366"/>
      <c r="F63" s="1367"/>
    </row>
    <row r="64" spans="1:6">
      <c r="A64" s="162" t="s">
        <v>49</v>
      </c>
      <c r="B64" s="1" t="s">
        <v>239</v>
      </c>
      <c r="C64" s="968">
        <v>300000</v>
      </c>
      <c r="D64" s="976">
        <v>300000</v>
      </c>
      <c r="E64" s="984">
        <v>14000</v>
      </c>
      <c r="F64" s="992">
        <f>E64/D64</f>
        <v>4.6666666666666669E-2</v>
      </c>
    </row>
    <row r="65" spans="1:6">
      <c r="A65" s="1279" t="s">
        <v>240</v>
      </c>
      <c r="B65" s="115"/>
      <c r="C65" s="1855">
        <v>0</v>
      </c>
      <c r="D65" s="1856">
        <v>0</v>
      </c>
      <c r="E65" s="943">
        <v>0</v>
      </c>
      <c r="F65" s="999">
        <v>0</v>
      </c>
    </row>
    <row r="66" spans="1:6">
      <c r="A66" s="1279"/>
      <c r="B66" s="8" t="s">
        <v>241</v>
      </c>
      <c r="C66" s="1375">
        <f>SUM(C64:C65)</f>
        <v>300000</v>
      </c>
      <c r="D66" s="1376">
        <f>SUM(D64:D65)</f>
        <v>300000</v>
      </c>
      <c r="E66" s="1377">
        <f>SUM(E64:E65)</f>
        <v>14000</v>
      </c>
      <c r="F66" s="997">
        <f>E66/D66</f>
        <v>4.6666666666666669E-2</v>
      </c>
    </row>
    <row r="67" spans="1:6">
      <c r="A67" s="1279"/>
      <c r="B67" s="115"/>
      <c r="C67" s="968"/>
      <c r="D67" s="1365"/>
      <c r="E67" s="1366"/>
      <c r="F67" s="997"/>
    </row>
    <row r="68" spans="1:6">
      <c r="A68" s="2169" t="s">
        <v>242</v>
      </c>
      <c r="B68" s="2169"/>
      <c r="C68" s="968"/>
      <c r="D68" s="1365"/>
      <c r="E68" s="1366"/>
      <c r="F68" s="997"/>
    </row>
    <row r="69" spans="1:6">
      <c r="A69" s="2173" t="s">
        <v>243</v>
      </c>
      <c r="B69" s="2173"/>
      <c r="C69" s="968"/>
      <c r="D69" s="976"/>
      <c r="E69" s="984"/>
      <c r="F69" s="997"/>
    </row>
    <row r="70" spans="1:6">
      <c r="A70" s="162" t="s">
        <v>49</v>
      </c>
      <c r="B70" s="1279" t="s">
        <v>244</v>
      </c>
      <c r="C70" s="968">
        <v>6019000</v>
      </c>
      <c r="D70" s="976">
        <v>6614000</v>
      </c>
      <c r="E70" s="984">
        <v>4243000</v>
      </c>
      <c r="F70" s="992">
        <v>0</v>
      </c>
    </row>
    <row r="71" spans="1:6">
      <c r="A71" s="162" t="s">
        <v>51</v>
      </c>
      <c r="B71" s="1279" t="s">
        <v>245</v>
      </c>
      <c r="C71" s="894">
        <v>0</v>
      </c>
      <c r="D71" s="916">
        <v>0</v>
      </c>
      <c r="E71" s="935">
        <v>0</v>
      </c>
      <c r="F71" s="992">
        <v>0</v>
      </c>
    </row>
    <row r="72" spans="1:6">
      <c r="A72" s="2172" t="s">
        <v>246</v>
      </c>
      <c r="B72" s="2172"/>
      <c r="C72" s="894">
        <v>0</v>
      </c>
      <c r="D72" s="976">
        <v>16000</v>
      </c>
      <c r="E72" s="984">
        <v>16000</v>
      </c>
      <c r="F72" s="992">
        <f>E72/D72</f>
        <v>1</v>
      </c>
    </row>
    <row r="73" spans="1:6">
      <c r="A73" s="2172" t="s">
        <v>248</v>
      </c>
      <c r="B73" s="2172"/>
      <c r="C73" s="907">
        <v>840000</v>
      </c>
      <c r="D73" s="979">
        <v>624000</v>
      </c>
      <c r="E73" s="987">
        <v>315000</v>
      </c>
      <c r="F73" s="999">
        <f>E73/D73</f>
        <v>0.50480769230769229</v>
      </c>
    </row>
    <row r="74" spans="1:6">
      <c r="A74" s="1279"/>
      <c r="B74" s="8" t="s">
        <v>249</v>
      </c>
      <c r="C74" s="970">
        <f>SUM(C70:C73)</f>
        <v>6859000</v>
      </c>
      <c r="D74" s="978">
        <f>SUM(D70:D73)</f>
        <v>7254000</v>
      </c>
      <c r="E74" s="986">
        <f>SUM(E70:E73)</f>
        <v>4574000</v>
      </c>
      <c r="F74" s="997">
        <f>E74/D74</f>
        <v>0.63054866280672728</v>
      </c>
    </row>
    <row r="75" spans="1:6">
      <c r="A75" s="1279"/>
      <c r="B75" s="115"/>
      <c r="C75" s="968"/>
      <c r="D75" s="1365"/>
      <c r="E75" s="1366"/>
      <c r="F75" s="997"/>
    </row>
    <row r="76" spans="1:6" s="962" customFormat="1">
      <c r="A76" s="1279"/>
      <c r="B76" s="12" t="s">
        <v>250</v>
      </c>
      <c r="C76" s="971">
        <f>C43+C48+C60+C66+C74</f>
        <v>30415000</v>
      </c>
      <c r="D76" s="980">
        <f>D43+D48+D60+D66+D74</f>
        <v>33236000</v>
      </c>
      <c r="E76" s="988">
        <f>E43+E48+E60+E66+E74</f>
        <v>25887000</v>
      </c>
      <c r="F76" s="996">
        <f>E76/D76</f>
        <v>0.77888434227945602</v>
      </c>
    </row>
    <row r="77" spans="1:6">
      <c r="A77" s="1279"/>
      <c r="B77" s="12"/>
      <c r="C77" s="972"/>
      <c r="D77" s="1365"/>
      <c r="E77" s="1366"/>
      <c r="F77" s="1367"/>
    </row>
    <row r="78" spans="1:6">
      <c r="A78" s="2183" t="s">
        <v>251</v>
      </c>
      <c r="B78" s="2183"/>
      <c r="C78" s="973"/>
      <c r="D78" s="1365"/>
      <c r="E78" s="1366"/>
      <c r="F78" s="1367"/>
    </row>
    <row r="79" spans="1:6">
      <c r="A79" s="211"/>
      <c r="B79" s="211"/>
      <c r="C79" s="973"/>
      <c r="D79" s="1365"/>
      <c r="E79" s="1366"/>
      <c r="F79" s="1367"/>
    </row>
    <row r="80" spans="1:6">
      <c r="A80" s="7" t="s">
        <v>294</v>
      </c>
      <c r="B80" s="1667"/>
      <c r="C80" s="1855">
        <v>0</v>
      </c>
      <c r="D80" s="1856">
        <v>0</v>
      </c>
      <c r="E80" s="943">
        <v>0</v>
      </c>
      <c r="F80" s="1857">
        <v>0</v>
      </c>
    </row>
    <row r="81" spans="1:9">
      <c r="A81" s="162"/>
      <c r="B81" s="1858" t="s">
        <v>253</v>
      </c>
      <c r="C81" s="1859">
        <v>0</v>
      </c>
      <c r="D81" s="1860">
        <v>0</v>
      </c>
      <c r="E81" s="1861">
        <v>0</v>
      </c>
      <c r="F81" s="1862">
        <v>0</v>
      </c>
    </row>
    <row r="82" spans="1:9">
      <c r="A82" s="162"/>
      <c r="B82" s="115"/>
      <c r="C82" s="968"/>
      <c r="D82" s="1365"/>
      <c r="E82" s="1366"/>
      <c r="F82" s="1000"/>
    </row>
    <row r="83" spans="1:9">
      <c r="A83" s="211" t="s">
        <v>254</v>
      </c>
      <c r="B83" s="115"/>
      <c r="C83" s="894">
        <v>0</v>
      </c>
      <c r="D83" s="916">
        <v>0</v>
      </c>
      <c r="E83" s="935">
        <v>0</v>
      </c>
      <c r="F83" s="1000">
        <v>0</v>
      </c>
    </row>
    <row r="84" spans="1:9">
      <c r="A84" s="162"/>
      <c r="B84" s="115"/>
      <c r="C84" s="968"/>
      <c r="D84" s="1365"/>
      <c r="E84" s="1366"/>
      <c r="F84" s="1000"/>
      <c r="I84" s="214"/>
    </row>
    <row r="85" spans="1:9">
      <c r="A85" s="2178" t="s">
        <v>279</v>
      </c>
      <c r="B85" s="2178"/>
      <c r="C85" s="969">
        <f>C29+C35+C76+C81+C83</f>
        <v>202312000</v>
      </c>
      <c r="D85" s="977">
        <f>D29+D35+D76+D81+D83</f>
        <v>226922600</v>
      </c>
      <c r="E85" s="985">
        <f>E29+E35+E76+E81+E83</f>
        <v>218573000</v>
      </c>
      <c r="F85" s="1001">
        <f>E85/D85</f>
        <v>0.96320507521066656</v>
      </c>
      <c r="I85" s="214"/>
    </row>
    <row r="86" spans="1:9">
      <c r="A86" s="162"/>
      <c r="B86" s="115"/>
      <c r="C86" s="968"/>
      <c r="D86" s="1365"/>
      <c r="E86" s="1366"/>
      <c r="F86" s="1367"/>
    </row>
    <row r="87" spans="1:9">
      <c r="A87" s="162"/>
      <c r="B87" s="115"/>
      <c r="C87" s="968"/>
      <c r="D87" s="1365"/>
      <c r="E87" s="1366"/>
      <c r="F87" s="1367"/>
    </row>
    <row r="88" spans="1:9">
      <c r="A88" s="162"/>
      <c r="B88" s="115"/>
      <c r="C88" s="968"/>
      <c r="D88" s="1365"/>
      <c r="E88" s="1366"/>
      <c r="F88" s="1367"/>
    </row>
    <row r="89" spans="1:9">
      <c r="A89" s="162"/>
      <c r="B89" s="115"/>
      <c r="C89" s="968"/>
      <c r="D89" s="1365"/>
      <c r="E89" s="1366"/>
      <c r="F89" s="1367"/>
    </row>
    <row r="90" spans="1:9">
      <c r="A90" s="162"/>
      <c r="B90" s="115"/>
      <c r="C90" s="968"/>
      <c r="D90" s="1365"/>
      <c r="E90" s="1366"/>
      <c r="F90" s="1367"/>
    </row>
    <row r="91" spans="1:9" s="738" customFormat="1">
      <c r="A91" s="2183" t="s">
        <v>280</v>
      </c>
      <c r="B91" s="2183"/>
      <c r="C91" s="968"/>
      <c r="D91" s="1365"/>
      <c r="E91" s="1366"/>
      <c r="F91" s="1367"/>
    </row>
    <row r="92" spans="1:9">
      <c r="A92" s="162"/>
      <c r="B92" s="115"/>
      <c r="C92" s="968"/>
      <c r="D92" s="1365"/>
      <c r="E92" s="1366"/>
      <c r="F92" s="1367"/>
    </row>
    <row r="93" spans="1:9">
      <c r="A93" s="2169" t="s">
        <v>281</v>
      </c>
      <c r="B93" s="2169"/>
      <c r="C93" s="970">
        <f>'5.'!D88</f>
        <v>2000000</v>
      </c>
      <c r="D93" s="978">
        <f>'5.'!E88</f>
        <v>4164000</v>
      </c>
      <c r="E93" s="986">
        <f>'5.'!F88</f>
        <v>2286201.9300000002</v>
      </c>
      <c r="F93" s="997">
        <f>E93/D93</f>
        <v>0.54903984870317002</v>
      </c>
    </row>
    <row r="94" spans="1:9">
      <c r="A94" s="13"/>
      <c r="B94" s="10"/>
      <c r="C94" s="970"/>
      <c r="D94" s="1365"/>
      <c r="E94" s="1366"/>
      <c r="F94" s="997"/>
    </row>
    <row r="95" spans="1:9">
      <c r="A95" s="2169" t="s">
        <v>282</v>
      </c>
      <c r="B95" s="2169"/>
      <c r="C95" s="970">
        <f>'5.'!D146</f>
        <v>0</v>
      </c>
      <c r="D95" s="978">
        <f>'5.'!E146</f>
        <v>8000</v>
      </c>
      <c r="E95" s="986">
        <f>'5.'!F146</f>
        <v>7499.35</v>
      </c>
      <c r="F95" s="997">
        <f t="shared" ref="F95" si="3">E95/D95</f>
        <v>0.93741875000000008</v>
      </c>
    </row>
    <row r="96" spans="1:9">
      <c r="A96" s="9"/>
      <c r="B96" s="115"/>
      <c r="C96" s="894"/>
      <c r="D96" s="1365"/>
      <c r="E96" s="1366"/>
      <c r="F96" s="992"/>
    </row>
    <row r="97" spans="1:8" s="119" customFormat="1">
      <c r="A97" s="2169" t="s">
        <v>283</v>
      </c>
      <c r="B97" s="2169"/>
      <c r="C97" s="1006">
        <v>0</v>
      </c>
      <c r="D97" s="1007">
        <v>0</v>
      </c>
      <c r="E97" s="942">
        <v>0</v>
      </c>
      <c r="F97" s="997">
        <v>0</v>
      </c>
    </row>
    <row r="98" spans="1:8">
      <c r="A98" s="9"/>
      <c r="B98" s="115"/>
      <c r="D98" s="1365"/>
      <c r="E98" s="1366"/>
      <c r="F98" s="1367"/>
    </row>
    <row r="99" spans="1:8">
      <c r="A99" s="115"/>
      <c r="B99" s="115"/>
      <c r="D99" s="1365"/>
      <c r="E99" s="1366"/>
      <c r="F99" s="1367"/>
    </row>
    <row r="100" spans="1:8" ht="20.25" customHeight="1">
      <c r="A100" s="2178" t="s">
        <v>285</v>
      </c>
      <c r="B100" s="2178"/>
      <c r="C100" s="971">
        <f>SUM(C93:C99)</f>
        <v>2000000</v>
      </c>
      <c r="D100" s="980">
        <f>SUM(D93:D99)</f>
        <v>4172000</v>
      </c>
      <c r="E100" s="988">
        <f>SUM(E93:E99)</f>
        <v>2293701.2800000003</v>
      </c>
      <c r="F100" s="996">
        <f>E100/D100</f>
        <v>0.54978458293384469</v>
      </c>
    </row>
    <row r="101" spans="1:8">
      <c r="A101" s="216"/>
      <c r="B101" s="216"/>
      <c r="C101" s="972"/>
      <c r="D101" s="1365"/>
      <c r="E101" s="1366"/>
      <c r="F101" s="994"/>
    </row>
    <row r="102" spans="1:8">
      <c r="A102" s="115"/>
      <c r="B102" s="115"/>
      <c r="D102" s="1365"/>
      <c r="E102" s="1366"/>
      <c r="F102" s="994"/>
    </row>
    <row r="103" spans="1:8" s="119" customFormat="1">
      <c r="A103" s="2169" t="s">
        <v>286</v>
      </c>
      <c r="B103" s="2169"/>
      <c r="C103" s="1006">
        <v>0</v>
      </c>
      <c r="D103" s="1007">
        <v>0</v>
      </c>
      <c r="E103" s="942">
        <v>0</v>
      </c>
      <c r="F103" s="997">
        <v>0</v>
      </c>
    </row>
    <row r="104" spans="1:8">
      <c r="A104" s="1280"/>
      <c r="B104" s="1280"/>
      <c r="C104" s="968"/>
      <c r="D104" s="1365"/>
      <c r="E104" s="1366"/>
      <c r="F104" s="994"/>
    </row>
    <row r="105" spans="1:8">
      <c r="A105" s="115"/>
      <c r="B105" s="115"/>
      <c r="D105" s="1365"/>
      <c r="E105" s="1366"/>
      <c r="F105" s="994"/>
    </row>
    <row r="106" spans="1:8" ht="26.25" customHeight="1">
      <c r="A106" s="2184" t="s">
        <v>288</v>
      </c>
      <c r="B106" s="2184"/>
      <c r="C106" s="974">
        <f>C85+C100</f>
        <v>204312000</v>
      </c>
      <c r="D106" s="981">
        <f>D85+D100</f>
        <v>231094600</v>
      </c>
      <c r="E106" s="989">
        <f>E85+E100</f>
        <v>220866701.28</v>
      </c>
      <c r="F106" s="1002">
        <f>E106/D106</f>
        <v>0.95574150707113015</v>
      </c>
    </row>
    <row r="108" spans="1:8">
      <c r="B108" s="1035"/>
      <c r="C108" s="1874"/>
      <c r="D108" s="1874"/>
      <c r="E108" s="1875"/>
      <c r="F108" s="1035"/>
      <c r="G108" s="543"/>
      <c r="H108" s="543"/>
    </row>
    <row r="109" spans="1:8">
      <c r="B109" s="1035"/>
      <c r="C109" s="1874"/>
      <c r="D109" s="1874"/>
      <c r="E109" s="1875"/>
      <c r="F109" s="1035"/>
      <c r="G109" s="543"/>
      <c r="H109" s="543"/>
    </row>
    <row r="110" spans="1:8">
      <c r="B110" s="1035"/>
      <c r="C110" s="1874"/>
      <c r="D110" s="1874"/>
      <c r="E110" s="1875"/>
      <c r="F110" s="1035"/>
      <c r="G110" s="543"/>
      <c r="H110" s="543"/>
    </row>
    <row r="111" spans="1:8">
      <c r="B111" s="1035"/>
      <c r="C111" s="1874"/>
      <c r="D111" s="1874"/>
      <c r="E111" s="1875"/>
      <c r="F111" s="1035"/>
      <c r="G111" s="543"/>
      <c r="H111" s="543"/>
    </row>
    <row r="112" spans="1:8">
      <c r="B112" s="1035"/>
      <c r="C112" s="1874"/>
      <c r="D112" s="1874"/>
      <c r="E112" s="1875"/>
      <c r="F112" s="1035"/>
      <c r="G112" s="543"/>
      <c r="H112" s="543"/>
    </row>
    <row r="113" spans="2:8">
      <c r="B113" s="1035"/>
      <c r="C113" s="1874"/>
      <c r="D113" s="1874"/>
      <c r="E113" s="1875"/>
      <c r="F113" s="1035"/>
      <c r="G113" s="543"/>
      <c r="H113" s="543"/>
    </row>
    <row r="114" spans="2:8">
      <c r="B114" s="1035"/>
      <c r="C114" s="1874"/>
      <c r="D114" s="1874"/>
      <c r="E114" s="1875"/>
      <c r="F114" s="1035"/>
      <c r="G114" s="543"/>
      <c r="H114" s="543"/>
    </row>
    <row r="115" spans="2:8">
      <c r="B115" s="1035"/>
      <c r="C115" s="1874"/>
      <c r="D115" s="1874"/>
      <c r="E115" s="1875"/>
      <c r="F115" s="1035"/>
      <c r="G115" s="543"/>
      <c r="H115" s="543"/>
    </row>
    <row r="116" spans="2:8">
      <c r="B116" s="1035"/>
      <c r="C116" s="1874"/>
      <c r="D116" s="1874"/>
      <c r="E116" s="1875"/>
      <c r="F116" s="1035"/>
      <c r="G116" s="543"/>
      <c r="H116" s="543"/>
    </row>
    <row r="117" spans="2:8">
      <c r="B117" s="1035"/>
      <c r="C117" s="1874"/>
      <c r="D117" s="1874"/>
      <c r="E117" s="1875"/>
      <c r="F117" s="1035"/>
      <c r="G117" s="543"/>
      <c r="H117" s="543"/>
    </row>
    <row r="118" spans="2:8">
      <c r="B118" s="1035"/>
      <c r="C118" s="1874"/>
      <c r="D118" s="1874"/>
      <c r="E118" s="1875"/>
      <c r="F118" s="1035"/>
      <c r="G118" s="543"/>
      <c r="H118" s="543"/>
    </row>
    <row r="119" spans="2:8">
      <c r="B119" s="1035"/>
      <c r="C119" s="1874"/>
      <c r="D119" s="1874"/>
      <c r="E119" s="1875"/>
      <c r="F119" s="1035"/>
      <c r="G119" s="543"/>
      <c r="H119" s="543"/>
    </row>
    <row r="120" spans="2:8">
      <c r="B120" s="1035"/>
      <c r="C120" s="1874"/>
      <c r="D120" s="1874"/>
      <c r="E120" s="1875"/>
      <c r="F120" s="1035"/>
      <c r="G120" s="543"/>
      <c r="H120" s="543"/>
    </row>
    <row r="121" spans="2:8">
      <c r="B121" s="1035"/>
      <c r="C121" s="1874"/>
      <c r="D121" s="1874"/>
      <c r="E121" s="1875"/>
      <c r="F121" s="1035"/>
      <c r="G121" s="543"/>
      <c r="H121" s="543"/>
    </row>
    <row r="122" spans="2:8">
      <c r="B122" s="1035"/>
      <c r="C122" s="1874"/>
      <c r="D122" s="1874"/>
      <c r="E122" s="1875"/>
      <c r="F122" s="1035"/>
      <c r="G122" s="543"/>
      <c r="H122" s="543"/>
    </row>
    <row r="123" spans="2:8">
      <c r="B123" s="1035"/>
      <c r="C123" s="1874"/>
      <c r="D123" s="1874"/>
      <c r="E123" s="1875"/>
      <c r="F123" s="1035"/>
      <c r="G123" s="543"/>
      <c r="H123" s="543"/>
    </row>
    <row r="124" spans="2:8">
      <c r="B124" s="1035"/>
      <c r="C124" s="1874"/>
      <c r="D124" s="1874"/>
      <c r="E124" s="1875"/>
      <c r="F124" s="1035"/>
      <c r="G124" s="543"/>
      <c r="H124" s="543"/>
    </row>
    <row r="125" spans="2:8">
      <c r="B125" s="1035"/>
      <c r="C125" s="1874"/>
      <c r="D125" s="1874"/>
      <c r="E125" s="1875"/>
      <c r="F125" s="1035"/>
      <c r="G125" s="543"/>
      <c r="H125" s="543"/>
    </row>
    <row r="126" spans="2:8">
      <c r="B126" s="1035"/>
      <c r="C126" s="1874"/>
      <c r="D126" s="1874"/>
      <c r="E126" s="1875"/>
      <c r="F126" s="1035"/>
      <c r="G126" s="543"/>
      <c r="H126" s="543"/>
    </row>
    <row r="127" spans="2:8">
      <c r="B127" s="1035"/>
      <c r="C127" s="1874"/>
      <c r="D127" s="1874"/>
      <c r="E127" s="1875"/>
      <c r="F127" s="1035"/>
      <c r="G127" s="543"/>
      <c r="H127" s="543"/>
    </row>
    <row r="128" spans="2:8">
      <c r="B128" s="1035"/>
      <c r="C128" s="1874"/>
      <c r="D128" s="1874"/>
      <c r="E128" s="1875"/>
      <c r="F128" s="1035"/>
      <c r="G128" s="543"/>
      <c r="H128" s="543"/>
    </row>
    <row r="129" spans="2:8">
      <c r="B129" s="1035"/>
      <c r="C129" s="1874"/>
      <c r="D129" s="1874"/>
      <c r="E129" s="1875"/>
      <c r="F129" s="1035"/>
      <c r="G129" s="543"/>
      <c r="H129" s="543"/>
    </row>
    <row r="130" spans="2:8">
      <c r="B130" s="1035"/>
      <c r="C130" s="1874"/>
      <c r="D130" s="1874"/>
      <c r="E130" s="1875"/>
      <c r="F130" s="1035"/>
      <c r="G130" s="543"/>
      <c r="H130" s="543"/>
    </row>
    <row r="131" spans="2:8">
      <c r="B131" s="1035"/>
      <c r="C131" s="1874"/>
      <c r="D131" s="1874"/>
      <c r="E131" s="1875"/>
      <c r="F131" s="1035"/>
      <c r="G131" s="543"/>
      <c r="H131" s="543"/>
    </row>
    <row r="132" spans="2:8">
      <c r="B132" s="1035"/>
      <c r="C132" s="1874"/>
      <c r="D132" s="1874"/>
      <c r="E132" s="1875"/>
      <c r="F132" s="1035"/>
      <c r="G132" s="543"/>
      <c r="H132" s="543"/>
    </row>
    <row r="133" spans="2:8">
      <c r="B133" s="1035"/>
      <c r="C133" s="1874"/>
      <c r="D133" s="1874"/>
      <c r="E133" s="1875"/>
      <c r="F133" s="1035"/>
      <c r="G133" s="543"/>
      <c r="H133" s="543"/>
    </row>
    <row r="134" spans="2:8">
      <c r="B134" s="1035"/>
      <c r="C134" s="1874"/>
      <c r="D134" s="1874"/>
      <c r="E134" s="1875"/>
      <c r="F134" s="1035"/>
      <c r="G134" s="543"/>
      <c r="H134" s="543"/>
    </row>
    <row r="135" spans="2:8">
      <c r="B135" s="1035"/>
      <c r="C135" s="1874"/>
      <c r="D135" s="1874"/>
      <c r="E135" s="1875"/>
      <c r="F135" s="1035"/>
      <c r="G135" s="543"/>
      <c r="H135" s="543"/>
    </row>
    <row r="136" spans="2:8">
      <c r="B136" s="1035"/>
      <c r="C136" s="1874"/>
      <c r="D136" s="1874"/>
      <c r="E136" s="1875"/>
      <c r="F136" s="1035"/>
      <c r="G136" s="543"/>
      <c r="H136" s="543"/>
    </row>
    <row r="137" spans="2:8">
      <c r="B137" s="1035"/>
      <c r="C137" s="1874"/>
      <c r="D137" s="1874"/>
      <c r="E137" s="1875"/>
      <c r="F137" s="1035"/>
      <c r="G137" s="543"/>
      <c r="H137" s="543"/>
    </row>
    <row r="138" spans="2:8">
      <c r="B138" s="1035"/>
      <c r="C138" s="1874"/>
      <c r="D138" s="1874"/>
      <c r="E138" s="1875"/>
      <c r="F138" s="1035"/>
      <c r="G138" s="543"/>
      <c r="H138" s="543"/>
    </row>
    <row r="139" spans="2:8">
      <c r="B139" s="1035"/>
      <c r="C139" s="1874"/>
      <c r="D139" s="1874"/>
      <c r="E139" s="1875"/>
      <c r="F139" s="1035"/>
      <c r="G139" s="543"/>
      <c r="H139" s="543"/>
    </row>
    <row r="140" spans="2:8">
      <c r="B140" s="1035"/>
      <c r="C140" s="1874"/>
      <c r="D140" s="1874"/>
      <c r="E140" s="1875"/>
      <c r="F140" s="1035"/>
      <c r="G140" s="543"/>
      <c r="H140" s="543"/>
    </row>
    <row r="141" spans="2:8">
      <c r="B141" s="1035"/>
      <c r="C141" s="1874"/>
      <c r="D141" s="1874"/>
      <c r="E141" s="1875"/>
      <c r="F141" s="1035"/>
      <c r="G141" s="543"/>
      <c r="H141" s="543"/>
    </row>
    <row r="142" spans="2:8">
      <c r="B142" s="1035"/>
      <c r="C142" s="1874"/>
      <c r="D142" s="1874"/>
      <c r="E142" s="1875"/>
      <c r="F142" s="1035"/>
      <c r="G142" s="543"/>
      <c r="H142" s="543"/>
    </row>
    <row r="143" spans="2:8">
      <c r="B143" s="1035"/>
      <c r="C143" s="1874"/>
      <c r="D143" s="1874"/>
      <c r="E143" s="1875"/>
      <c r="F143" s="1035"/>
      <c r="G143" s="543"/>
      <c r="H143" s="543"/>
    </row>
    <row r="144" spans="2:8">
      <c r="B144" s="1035"/>
      <c r="C144" s="1874"/>
      <c r="D144" s="1874"/>
      <c r="E144" s="1875"/>
      <c r="F144" s="1035"/>
      <c r="G144" s="543"/>
      <c r="H144" s="543"/>
    </row>
    <row r="145" spans="2:8">
      <c r="B145" s="1035"/>
      <c r="C145" s="1874"/>
      <c r="D145" s="1874"/>
      <c r="E145" s="1875"/>
      <c r="F145" s="1035"/>
      <c r="G145" s="543"/>
      <c r="H145" s="543"/>
    </row>
    <row r="146" spans="2:8">
      <c r="B146" s="1035"/>
      <c r="C146" s="1874"/>
      <c r="D146" s="1874"/>
      <c r="E146" s="1875"/>
      <c r="F146" s="1035"/>
      <c r="G146" s="543"/>
      <c r="H146" s="543"/>
    </row>
    <row r="147" spans="2:8">
      <c r="B147" s="1035"/>
      <c r="C147" s="1874"/>
      <c r="D147" s="1874"/>
      <c r="E147" s="1875"/>
      <c r="F147" s="1035"/>
      <c r="G147" s="543"/>
      <c r="H147" s="543"/>
    </row>
    <row r="148" spans="2:8">
      <c r="B148" s="1035"/>
      <c r="C148" s="1874"/>
      <c r="D148" s="1874"/>
      <c r="E148" s="1875"/>
      <c r="F148" s="1035"/>
      <c r="G148" s="543"/>
      <c r="H148" s="543"/>
    </row>
    <row r="149" spans="2:8">
      <c r="B149" s="1035"/>
      <c r="C149" s="1874"/>
      <c r="D149" s="1874"/>
      <c r="E149" s="1875"/>
      <c r="F149" s="1035"/>
      <c r="G149" s="543"/>
      <c r="H149" s="543"/>
    </row>
    <row r="150" spans="2:8">
      <c r="B150" s="1035"/>
      <c r="C150" s="1874"/>
      <c r="D150" s="1874"/>
      <c r="E150" s="1875"/>
      <c r="F150" s="1035"/>
      <c r="G150" s="543"/>
      <c r="H150" s="543"/>
    </row>
    <row r="151" spans="2:8">
      <c r="B151" s="1035"/>
      <c r="C151" s="1874"/>
      <c r="D151" s="1874"/>
      <c r="E151" s="1875"/>
      <c r="F151" s="1035"/>
      <c r="G151" s="543"/>
      <c r="H151" s="543"/>
    </row>
    <row r="152" spans="2:8">
      <c r="B152" s="1035"/>
      <c r="C152" s="1874"/>
      <c r="D152" s="1874"/>
      <c r="E152" s="1875"/>
      <c r="F152" s="1035"/>
      <c r="G152" s="543"/>
      <c r="H152" s="543"/>
    </row>
    <row r="153" spans="2:8">
      <c r="B153" s="1035"/>
      <c r="C153" s="1874"/>
      <c r="D153" s="1874"/>
      <c r="E153" s="1875"/>
      <c r="F153" s="1035"/>
      <c r="G153" s="543"/>
      <c r="H153" s="543"/>
    </row>
    <row r="154" spans="2:8">
      <c r="B154" s="1035"/>
      <c r="C154" s="1874"/>
      <c r="D154" s="1874"/>
      <c r="E154" s="1875"/>
      <c r="F154" s="1035"/>
      <c r="G154" s="543"/>
      <c r="H154" s="543"/>
    </row>
    <row r="155" spans="2:8">
      <c r="B155" s="1035"/>
      <c r="C155" s="1874"/>
      <c r="D155" s="1874"/>
      <c r="E155" s="1875"/>
      <c r="F155" s="1035"/>
      <c r="G155" s="543"/>
      <c r="H155" s="543"/>
    </row>
    <row r="156" spans="2:8">
      <c r="B156" s="1035"/>
      <c r="C156" s="1874"/>
      <c r="D156" s="1874"/>
      <c r="E156" s="1875"/>
      <c r="F156" s="1035"/>
      <c r="G156" s="543"/>
      <c r="H156" s="543"/>
    </row>
    <row r="157" spans="2:8">
      <c r="B157" s="1035"/>
      <c r="C157" s="1874"/>
      <c r="D157" s="1874"/>
      <c r="E157" s="1875"/>
      <c r="F157" s="1035"/>
      <c r="G157" s="543"/>
      <c r="H157" s="543"/>
    </row>
    <row r="158" spans="2:8">
      <c r="B158" s="1035"/>
      <c r="C158" s="1874"/>
      <c r="D158" s="1874"/>
      <c r="E158" s="1875"/>
      <c r="F158" s="1035"/>
      <c r="G158" s="543"/>
      <c r="H158" s="543"/>
    </row>
    <row r="159" spans="2:8">
      <c r="B159" s="1035"/>
      <c r="C159" s="1874"/>
      <c r="D159" s="1874"/>
      <c r="E159" s="1875"/>
      <c r="F159" s="1035"/>
      <c r="G159" s="543"/>
      <c r="H159" s="543"/>
    </row>
    <row r="160" spans="2:8">
      <c r="B160" s="1035"/>
      <c r="C160" s="1874"/>
      <c r="D160" s="1874"/>
      <c r="E160" s="1875"/>
      <c r="F160" s="1035"/>
      <c r="G160" s="543"/>
      <c r="H160" s="543"/>
    </row>
    <row r="161" spans="2:8">
      <c r="B161" s="1035"/>
      <c r="C161" s="1874"/>
      <c r="D161" s="1874"/>
      <c r="E161" s="1875"/>
      <c r="F161" s="1035"/>
      <c r="G161" s="543"/>
      <c r="H161" s="543"/>
    </row>
    <row r="162" spans="2:8">
      <c r="B162" s="1035"/>
      <c r="C162" s="1874"/>
      <c r="D162" s="1874"/>
      <c r="E162" s="1875"/>
      <c r="F162" s="1035"/>
      <c r="G162" s="543"/>
      <c r="H162" s="543"/>
    </row>
    <row r="163" spans="2:8">
      <c r="B163" s="1035"/>
      <c r="C163" s="1874"/>
      <c r="D163" s="1874"/>
      <c r="E163" s="1875"/>
      <c r="F163" s="1035"/>
      <c r="G163" s="543"/>
      <c r="H163" s="543"/>
    </row>
    <row r="164" spans="2:8">
      <c r="B164" s="1035"/>
      <c r="C164" s="1874"/>
      <c r="D164" s="1874"/>
      <c r="E164" s="1875"/>
      <c r="F164" s="1035"/>
      <c r="G164" s="543"/>
      <c r="H164" s="543"/>
    </row>
    <row r="165" spans="2:8">
      <c r="B165" s="1035"/>
      <c r="C165" s="1874"/>
      <c r="D165" s="1874"/>
      <c r="E165" s="1875"/>
      <c r="F165" s="1035"/>
      <c r="G165" s="543"/>
      <c r="H165" s="543"/>
    </row>
    <row r="166" spans="2:8">
      <c r="B166" s="1035"/>
      <c r="C166" s="1874"/>
      <c r="D166" s="1874"/>
      <c r="E166" s="1875"/>
      <c r="F166" s="1035"/>
      <c r="G166" s="543"/>
      <c r="H166" s="543"/>
    </row>
    <row r="167" spans="2:8">
      <c r="B167" s="1035"/>
      <c r="C167" s="1874"/>
      <c r="D167" s="1874"/>
      <c r="E167" s="1875"/>
      <c r="F167" s="1035"/>
      <c r="G167" s="543"/>
      <c r="H167" s="543"/>
    </row>
    <row r="168" spans="2:8">
      <c r="B168" s="1035"/>
      <c r="C168" s="1874"/>
      <c r="D168" s="1874"/>
      <c r="E168" s="1875"/>
      <c r="F168" s="1035"/>
      <c r="G168" s="543"/>
      <c r="H168" s="543"/>
    </row>
    <row r="169" spans="2:8">
      <c r="B169" s="1035"/>
      <c r="C169" s="1874"/>
      <c r="D169" s="1874"/>
      <c r="E169" s="1875"/>
      <c r="F169" s="1035"/>
      <c r="G169" s="543"/>
      <c r="H169" s="543"/>
    </row>
    <row r="170" spans="2:8">
      <c r="B170" s="1035"/>
      <c r="C170" s="1874"/>
      <c r="D170" s="1874"/>
      <c r="E170" s="1875"/>
      <c r="F170" s="1035"/>
      <c r="G170" s="543"/>
      <c r="H170" s="543"/>
    </row>
    <row r="171" spans="2:8">
      <c r="B171" s="1035"/>
      <c r="C171" s="1874"/>
      <c r="D171" s="1874"/>
      <c r="E171" s="1875"/>
      <c r="F171" s="1035"/>
      <c r="G171" s="543"/>
      <c r="H171" s="543"/>
    </row>
    <row r="172" spans="2:8">
      <c r="B172" s="1035"/>
      <c r="C172" s="1874"/>
      <c r="D172" s="1874"/>
      <c r="E172" s="1875"/>
      <c r="F172" s="1035"/>
      <c r="G172" s="543"/>
      <c r="H172" s="543"/>
    </row>
    <row r="173" spans="2:8">
      <c r="B173" s="1035"/>
      <c r="C173" s="1874"/>
      <c r="D173" s="1874"/>
      <c r="E173" s="1875"/>
      <c r="F173" s="1035"/>
      <c r="G173" s="543"/>
      <c r="H173" s="543"/>
    </row>
    <row r="174" spans="2:8">
      <c r="B174" s="1035"/>
      <c r="C174" s="1874"/>
      <c r="D174" s="1874"/>
      <c r="E174" s="1875"/>
      <c r="F174" s="1035"/>
      <c r="G174" s="543"/>
      <c r="H174" s="543"/>
    </row>
    <row r="175" spans="2:8">
      <c r="B175" s="1035"/>
      <c r="C175" s="1874"/>
      <c r="D175" s="1874"/>
      <c r="E175" s="1875"/>
      <c r="F175" s="1035"/>
      <c r="G175" s="543"/>
      <c r="H175" s="543"/>
    </row>
    <row r="176" spans="2:8">
      <c r="B176" s="1035"/>
      <c r="C176" s="1874"/>
      <c r="D176" s="1874"/>
      <c r="E176" s="1875"/>
      <c r="F176" s="1035"/>
      <c r="G176" s="543"/>
      <c r="H176" s="543"/>
    </row>
    <row r="177" spans="2:8">
      <c r="B177" s="1035"/>
      <c r="C177" s="1874"/>
      <c r="D177" s="1874"/>
      <c r="E177" s="1875"/>
      <c r="F177" s="1035"/>
      <c r="G177" s="543"/>
      <c r="H177" s="543"/>
    </row>
    <row r="178" spans="2:8">
      <c r="B178" s="1035"/>
      <c r="C178" s="1874"/>
      <c r="D178" s="1874"/>
      <c r="E178" s="1875"/>
      <c r="F178" s="1035"/>
      <c r="G178" s="543"/>
      <c r="H178" s="543"/>
    </row>
    <row r="179" spans="2:8">
      <c r="B179" s="1035"/>
      <c r="C179" s="1874"/>
      <c r="D179" s="1874"/>
      <c r="E179" s="1875"/>
      <c r="F179" s="1035"/>
      <c r="G179" s="543"/>
      <c r="H179" s="543"/>
    </row>
    <row r="180" spans="2:8">
      <c r="B180" s="1035"/>
      <c r="C180" s="1874"/>
      <c r="D180" s="1874"/>
      <c r="E180" s="1875"/>
      <c r="F180" s="1035"/>
      <c r="G180" s="543"/>
      <c r="H180" s="543"/>
    </row>
    <row r="181" spans="2:8">
      <c r="B181" s="1035"/>
      <c r="C181" s="1874"/>
      <c r="D181" s="1874"/>
      <c r="E181" s="1875"/>
      <c r="F181" s="1035"/>
      <c r="G181" s="543"/>
      <c r="H181" s="543"/>
    </row>
    <row r="182" spans="2:8">
      <c r="B182" s="1035"/>
      <c r="C182" s="1874"/>
      <c r="D182" s="1874"/>
      <c r="E182" s="1875"/>
      <c r="F182" s="1035"/>
      <c r="G182" s="543"/>
      <c r="H182" s="543"/>
    </row>
    <row r="183" spans="2:8">
      <c r="B183" s="1035"/>
      <c r="C183" s="1874"/>
      <c r="D183" s="1874"/>
      <c r="E183" s="1875"/>
      <c r="F183" s="1035"/>
      <c r="G183" s="543"/>
      <c r="H183" s="543"/>
    </row>
    <row r="184" spans="2:8">
      <c r="B184" s="1035"/>
      <c r="C184" s="1874"/>
      <c r="D184" s="1874"/>
      <c r="E184" s="1875"/>
      <c r="F184" s="1035"/>
      <c r="G184" s="543"/>
      <c r="H184" s="543"/>
    </row>
    <row r="185" spans="2:8">
      <c r="B185" s="1035"/>
      <c r="C185" s="1874"/>
      <c r="D185" s="1874"/>
      <c r="E185" s="1875"/>
      <c r="F185" s="1035"/>
      <c r="G185" s="543"/>
      <c r="H185" s="543"/>
    </row>
    <row r="186" spans="2:8">
      <c r="B186" s="1035"/>
      <c r="C186" s="1874"/>
      <c r="D186" s="1874"/>
      <c r="E186" s="1875"/>
      <c r="F186" s="1035"/>
      <c r="G186" s="543"/>
      <c r="H186" s="543"/>
    </row>
    <row r="187" spans="2:8">
      <c r="B187" s="1035"/>
      <c r="C187" s="1874"/>
      <c r="D187" s="1874"/>
      <c r="E187" s="1875"/>
      <c r="F187" s="1035"/>
      <c r="G187" s="543"/>
      <c r="H187" s="543"/>
    </row>
    <row r="188" spans="2:8">
      <c r="B188" s="1035"/>
      <c r="C188" s="1874"/>
      <c r="D188" s="1874"/>
      <c r="E188" s="1875"/>
      <c r="F188" s="1035"/>
      <c r="G188" s="543"/>
      <c r="H188" s="543"/>
    </row>
    <row r="189" spans="2:8">
      <c r="B189" s="1035"/>
      <c r="C189" s="1874"/>
      <c r="D189" s="1874"/>
      <c r="E189" s="1875"/>
      <c r="F189" s="1035"/>
      <c r="G189" s="543"/>
      <c r="H189" s="543"/>
    </row>
    <row r="190" spans="2:8">
      <c r="B190" s="1035"/>
      <c r="C190" s="1874"/>
      <c r="D190" s="1874"/>
      <c r="E190" s="1875"/>
      <c r="F190" s="1035"/>
      <c r="G190" s="543"/>
      <c r="H190" s="543"/>
    </row>
    <row r="191" spans="2:8">
      <c r="B191" s="1035"/>
      <c r="C191" s="1874"/>
      <c r="D191" s="1874"/>
      <c r="E191" s="1875"/>
      <c r="F191" s="1035"/>
      <c r="G191" s="543"/>
      <c r="H191" s="543"/>
    </row>
    <row r="192" spans="2:8">
      <c r="B192" s="1035"/>
      <c r="C192" s="1874"/>
      <c r="D192" s="1874"/>
      <c r="E192" s="1875"/>
      <c r="F192" s="1035"/>
      <c r="G192" s="543"/>
      <c r="H192" s="543"/>
    </row>
    <row r="193" spans="2:8">
      <c r="B193" s="1035"/>
      <c r="C193" s="1874"/>
      <c r="D193" s="1874"/>
      <c r="E193" s="1875"/>
      <c r="F193" s="1035"/>
      <c r="G193" s="543"/>
      <c r="H193" s="543"/>
    </row>
    <row r="194" spans="2:8">
      <c r="B194" s="1035"/>
      <c r="C194" s="1874"/>
      <c r="D194" s="1874"/>
      <c r="E194" s="1875"/>
      <c r="F194" s="1035"/>
      <c r="G194" s="543"/>
      <c r="H194" s="543"/>
    </row>
    <row r="195" spans="2:8">
      <c r="B195" s="1035"/>
      <c r="C195" s="1874"/>
      <c r="D195" s="1874"/>
      <c r="E195" s="1875"/>
      <c r="F195" s="1035"/>
      <c r="G195" s="543"/>
      <c r="H195" s="543"/>
    </row>
    <row r="196" spans="2:8">
      <c r="B196" s="1035"/>
      <c r="C196" s="1874"/>
      <c r="D196" s="1874"/>
      <c r="E196" s="1875"/>
      <c r="F196" s="1035"/>
      <c r="G196" s="543"/>
      <c r="H196" s="543"/>
    </row>
    <row r="197" spans="2:8">
      <c r="B197" s="1035"/>
      <c r="C197" s="1874"/>
      <c r="D197" s="1874"/>
      <c r="E197" s="1875"/>
      <c r="F197" s="1035"/>
      <c r="G197" s="543"/>
      <c r="H197" s="543"/>
    </row>
    <row r="198" spans="2:8">
      <c r="B198" s="1035"/>
      <c r="C198" s="1874"/>
      <c r="D198" s="1874"/>
      <c r="E198" s="1875"/>
      <c r="F198" s="1035"/>
      <c r="G198" s="543"/>
      <c r="H198" s="543"/>
    </row>
    <row r="199" spans="2:8">
      <c r="B199" s="1035"/>
      <c r="C199" s="1874"/>
      <c r="D199" s="1874"/>
      <c r="E199" s="1875"/>
      <c r="F199" s="1035"/>
      <c r="G199" s="543"/>
      <c r="H199" s="543"/>
    </row>
    <row r="200" spans="2:8">
      <c r="B200" s="1035"/>
      <c r="C200" s="1874"/>
      <c r="D200" s="1874"/>
      <c r="E200" s="1875"/>
      <c r="F200" s="1035"/>
      <c r="G200" s="543"/>
      <c r="H200" s="543"/>
    </row>
    <row r="201" spans="2:8">
      <c r="B201" s="1035"/>
      <c r="C201" s="1874"/>
      <c r="D201" s="1874"/>
      <c r="E201" s="1875"/>
      <c r="F201" s="1035"/>
      <c r="G201" s="543"/>
      <c r="H201" s="543"/>
    </row>
    <row r="202" spans="2:8">
      <c r="B202" s="1035"/>
      <c r="C202" s="1874"/>
      <c r="D202" s="1874"/>
      <c r="E202" s="1875"/>
      <c r="F202" s="1035"/>
      <c r="G202" s="543"/>
      <c r="H202" s="543"/>
    </row>
    <row r="203" spans="2:8">
      <c r="B203" s="1035"/>
      <c r="C203" s="1874"/>
      <c r="D203" s="1874"/>
      <c r="E203" s="1875"/>
      <c r="F203" s="1035"/>
      <c r="G203" s="543"/>
      <c r="H203" s="543"/>
    </row>
    <row r="204" spans="2:8">
      <c r="B204" s="1035"/>
      <c r="C204" s="1874"/>
      <c r="D204" s="1874"/>
      <c r="E204" s="1875"/>
      <c r="F204" s="1035"/>
      <c r="G204" s="543"/>
      <c r="H204" s="543"/>
    </row>
    <row r="205" spans="2:8">
      <c r="B205" s="1035"/>
      <c r="C205" s="1874"/>
      <c r="D205" s="1874"/>
      <c r="E205" s="1875"/>
      <c r="F205" s="1035"/>
      <c r="G205" s="543"/>
      <c r="H205" s="543"/>
    </row>
    <row r="206" spans="2:8">
      <c r="B206" s="1035"/>
      <c r="C206" s="1874"/>
      <c r="D206" s="1874"/>
      <c r="E206" s="1875"/>
      <c r="F206" s="1035"/>
      <c r="G206" s="543"/>
      <c r="H206" s="543"/>
    </row>
    <row r="207" spans="2:8">
      <c r="B207" s="1035"/>
      <c r="C207" s="1874"/>
      <c r="D207" s="1874"/>
      <c r="E207" s="1875"/>
      <c r="F207" s="1035"/>
      <c r="G207" s="543"/>
      <c r="H207" s="543"/>
    </row>
    <row r="208" spans="2:8">
      <c r="B208" s="1035"/>
      <c r="C208" s="1874"/>
      <c r="D208" s="1874"/>
      <c r="E208" s="1875"/>
      <c r="F208" s="1035"/>
      <c r="G208" s="543"/>
      <c r="H208" s="543"/>
    </row>
    <row r="209" spans="2:8">
      <c r="B209" s="1035"/>
      <c r="C209" s="1874"/>
      <c r="D209" s="1874"/>
      <c r="E209" s="1875"/>
      <c r="F209" s="1035"/>
      <c r="G209" s="543"/>
      <c r="H209" s="543"/>
    </row>
    <row r="210" spans="2:8">
      <c r="B210" s="1035"/>
      <c r="C210" s="1874"/>
      <c r="D210" s="1874"/>
      <c r="E210" s="1875"/>
      <c r="F210" s="1035"/>
      <c r="G210" s="543"/>
      <c r="H210" s="543"/>
    </row>
    <row r="211" spans="2:8">
      <c r="B211" s="1035"/>
      <c r="C211" s="1874"/>
      <c r="D211" s="1874"/>
      <c r="E211" s="1875"/>
      <c r="F211" s="1035"/>
      <c r="G211" s="543"/>
      <c r="H211" s="543"/>
    </row>
    <row r="212" spans="2:8">
      <c r="B212" s="1035"/>
      <c r="C212" s="1874"/>
      <c r="D212" s="1874"/>
      <c r="E212" s="1875"/>
      <c r="F212" s="1035"/>
      <c r="G212" s="543"/>
      <c r="H212" s="543"/>
    </row>
    <row r="213" spans="2:8">
      <c r="B213" s="1035"/>
      <c r="C213" s="1874"/>
      <c r="D213" s="1874"/>
      <c r="E213" s="1875"/>
      <c r="F213" s="1035"/>
      <c r="G213" s="543"/>
      <c r="H213" s="543"/>
    </row>
    <row r="214" spans="2:8">
      <c r="B214" s="1035"/>
      <c r="C214" s="1874"/>
      <c r="D214" s="1874"/>
      <c r="E214" s="1875"/>
      <c r="F214" s="1035"/>
      <c r="G214" s="543"/>
      <c r="H214" s="543"/>
    </row>
    <row r="215" spans="2:8">
      <c r="B215" s="1035"/>
      <c r="C215" s="1874"/>
      <c r="D215" s="1874"/>
      <c r="E215" s="1875"/>
      <c r="F215" s="1035"/>
      <c r="G215" s="543"/>
      <c r="H215" s="543"/>
    </row>
    <row r="216" spans="2:8">
      <c r="B216" s="1035"/>
      <c r="C216" s="1874"/>
      <c r="D216" s="1874"/>
      <c r="E216" s="1875"/>
      <c r="F216" s="1035"/>
      <c r="G216" s="543"/>
      <c r="H216" s="543"/>
    </row>
    <row r="217" spans="2:8">
      <c r="B217" s="1035"/>
      <c r="C217" s="1874"/>
      <c r="D217" s="1874"/>
      <c r="E217" s="1875"/>
      <c r="F217" s="1035"/>
      <c r="G217" s="543"/>
      <c r="H217" s="543"/>
    </row>
    <row r="218" spans="2:8">
      <c r="B218" s="1035"/>
      <c r="C218" s="1874"/>
      <c r="D218" s="1874"/>
      <c r="E218" s="1875"/>
      <c r="F218" s="1035"/>
      <c r="G218" s="543"/>
      <c r="H218" s="543"/>
    </row>
    <row r="219" spans="2:8">
      <c r="B219" s="1035"/>
      <c r="C219" s="1874"/>
      <c r="D219" s="1874"/>
      <c r="E219" s="1875"/>
      <c r="F219" s="1035"/>
      <c r="G219" s="543"/>
      <c r="H219" s="543"/>
    </row>
    <row r="220" spans="2:8">
      <c r="B220" s="1035"/>
      <c r="C220" s="1874"/>
      <c r="D220" s="1874"/>
      <c r="E220" s="1875"/>
      <c r="F220" s="1035"/>
      <c r="G220" s="543"/>
      <c r="H220" s="543"/>
    </row>
    <row r="221" spans="2:8">
      <c r="B221" s="1035"/>
      <c r="C221" s="1874"/>
      <c r="D221" s="1874"/>
      <c r="E221" s="1875"/>
      <c r="F221" s="1035"/>
      <c r="G221" s="543"/>
      <c r="H221" s="543"/>
    </row>
    <row r="222" spans="2:8">
      <c r="B222" s="1035"/>
      <c r="C222" s="1874"/>
      <c r="D222" s="1874"/>
      <c r="E222" s="1875"/>
      <c r="F222" s="1035"/>
      <c r="G222" s="543"/>
      <c r="H222" s="543"/>
    </row>
    <row r="223" spans="2:8">
      <c r="B223" s="1035"/>
      <c r="C223" s="1874"/>
      <c r="D223" s="1874"/>
      <c r="E223" s="1875"/>
      <c r="F223" s="1035"/>
      <c r="G223" s="543"/>
      <c r="H223" s="543"/>
    </row>
    <row r="224" spans="2:8">
      <c r="B224" s="1035"/>
      <c r="C224" s="1874"/>
      <c r="D224" s="1874"/>
      <c r="E224" s="1875"/>
      <c r="F224" s="1035"/>
      <c r="G224" s="543"/>
      <c r="H224" s="543"/>
    </row>
    <row r="225" spans="2:8">
      <c r="B225" s="1035"/>
      <c r="C225" s="1874"/>
      <c r="D225" s="1874"/>
      <c r="E225" s="1875"/>
      <c r="F225" s="1035"/>
      <c r="G225" s="543"/>
      <c r="H225" s="543"/>
    </row>
    <row r="226" spans="2:8">
      <c r="B226" s="1035"/>
      <c r="C226" s="1874"/>
      <c r="D226" s="1874"/>
      <c r="E226" s="1875"/>
      <c r="F226" s="1035"/>
      <c r="G226" s="543"/>
      <c r="H226" s="543"/>
    </row>
    <row r="227" spans="2:8">
      <c r="B227" s="1035"/>
      <c r="C227" s="1874"/>
      <c r="D227" s="1874"/>
      <c r="E227" s="1875"/>
      <c r="F227" s="1035"/>
      <c r="G227" s="543"/>
      <c r="H227" s="543"/>
    </row>
    <row r="228" spans="2:8">
      <c r="B228" s="1035"/>
      <c r="C228" s="1874"/>
      <c r="D228" s="1874"/>
      <c r="E228" s="1875"/>
      <c r="F228" s="1035"/>
      <c r="G228" s="543"/>
      <c r="H228" s="543"/>
    </row>
    <row r="229" spans="2:8">
      <c r="B229" s="1035"/>
      <c r="C229" s="1874"/>
      <c r="D229" s="1874"/>
      <c r="E229" s="1875"/>
      <c r="F229" s="1035"/>
      <c r="G229" s="543"/>
      <c r="H229" s="543"/>
    </row>
    <row r="230" spans="2:8">
      <c r="B230" s="1035"/>
      <c r="C230" s="1874"/>
      <c r="D230" s="1874"/>
      <c r="E230" s="1875"/>
      <c r="F230" s="1035"/>
      <c r="G230" s="543"/>
      <c r="H230" s="543"/>
    </row>
    <row r="231" spans="2:8">
      <c r="B231" s="1035"/>
      <c r="C231" s="1874"/>
      <c r="D231" s="1874"/>
      <c r="E231" s="1875"/>
      <c r="F231" s="1035"/>
      <c r="G231" s="543"/>
      <c r="H231" s="543"/>
    </row>
    <row r="232" spans="2:8">
      <c r="B232" s="1035"/>
      <c r="C232" s="1874"/>
      <c r="D232" s="1874"/>
      <c r="E232" s="1875"/>
      <c r="F232" s="1035"/>
      <c r="G232" s="543"/>
      <c r="H232" s="543"/>
    </row>
    <row r="233" spans="2:8">
      <c r="B233" s="1035"/>
      <c r="C233" s="1874"/>
      <c r="D233" s="1874"/>
      <c r="E233" s="1875"/>
      <c r="F233" s="1035"/>
      <c r="G233" s="543"/>
      <c r="H233" s="543"/>
    </row>
    <row r="234" spans="2:8">
      <c r="B234" s="1035"/>
      <c r="C234" s="1874"/>
      <c r="D234" s="1874"/>
      <c r="E234" s="1875"/>
      <c r="F234" s="1035"/>
      <c r="G234" s="543"/>
      <c r="H234" s="543"/>
    </row>
    <row r="235" spans="2:8">
      <c r="B235" s="1035"/>
      <c r="C235" s="1874"/>
      <c r="D235" s="1874"/>
      <c r="E235" s="1875"/>
      <c r="F235" s="1035"/>
      <c r="G235" s="543"/>
      <c r="H235" s="543"/>
    </row>
    <row r="236" spans="2:8">
      <c r="B236" s="1035"/>
      <c r="C236" s="1874"/>
      <c r="D236" s="1874"/>
      <c r="E236" s="1875"/>
      <c r="F236" s="1035"/>
      <c r="G236" s="543"/>
      <c r="H236" s="543"/>
    </row>
    <row r="237" spans="2:8">
      <c r="B237" s="1035"/>
      <c r="C237" s="1874"/>
      <c r="D237" s="1874"/>
      <c r="E237" s="1875"/>
      <c r="F237" s="1035"/>
      <c r="G237" s="543"/>
      <c r="H237" s="543"/>
    </row>
    <row r="238" spans="2:8">
      <c r="B238" s="1035"/>
      <c r="C238" s="1874"/>
      <c r="D238" s="1874"/>
      <c r="E238" s="1875"/>
      <c r="F238" s="1035"/>
      <c r="G238" s="543"/>
      <c r="H238" s="543"/>
    </row>
    <row r="239" spans="2:8">
      <c r="B239" s="1035"/>
      <c r="C239" s="1874"/>
      <c r="D239" s="1874"/>
      <c r="E239" s="1875"/>
      <c r="F239" s="1035"/>
      <c r="G239" s="543"/>
      <c r="H239" s="543"/>
    </row>
    <row r="240" spans="2:8">
      <c r="B240" s="1035"/>
      <c r="C240" s="1874"/>
      <c r="D240" s="1874"/>
      <c r="E240" s="1875"/>
      <c r="F240" s="1035"/>
      <c r="G240" s="543"/>
      <c r="H240" s="543"/>
    </row>
    <row r="241" spans="2:8">
      <c r="B241" s="1035"/>
      <c r="C241" s="1874"/>
      <c r="D241" s="1874"/>
      <c r="E241" s="1875"/>
      <c r="F241" s="1035"/>
      <c r="G241" s="543"/>
      <c r="H241" s="543"/>
    </row>
    <row r="242" spans="2:8">
      <c r="B242" s="1035"/>
      <c r="C242" s="1874"/>
      <c r="D242" s="1874"/>
      <c r="E242" s="1875"/>
      <c r="F242" s="1035"/>
      <c r="G242" s="543"/>
      <c r="H242" s="543"/>
    </row>
    <row r="243" spans="2:8">
      <c r="B243" s="1035"/>
      <c r="C243" s="1874"/>
      <c r="D243" s="1874"/>
      <c r="E243" s="1875"/>
      <c r="F243" s="1035"/>
      <c r="G243" s="543"/>
      <c r="H243" s="543"/>
    </row>
    <row r="244" spans="2:8">
      <c r="B244" s="1035"/>
      <c r="C244" s="1874"/>
      <c r="D244" s="1874"/>
      <c r="E244" s="1875"/>
      <c r="F244" s="1035"/>
      <c r="G244" s="543"/>
      <c r="H244" s="543"/>
    </row>
    <row r="245" spans="2:8">
      <c r="B245" s="1035"/>
      <c r="C245" s="1874"/>
      <c r="D245" s="1874"/>
      <c r="E245" s="1875"/>
      <c r="F245" s="1035"/>
      <c r="G245" s="543"/>
      <c r="H245" s="543"/>
    </row>
    <row r="246" spans="2:8">
      <c r="B246" s="1035"/>
      <c r="C246" s="1874"/>
      <c r="D246" s="1874"/>
      <c r="E246" s="1875"/>
      <c r="F246" s="1035"/>
      <c r="G246" s="543"/>
      <c r="H246" s="543"/>
    </row>
    <row r="247" spans="2:8">
      <c r="B247" s="1035"/>
      <c r="C247" s="1874"/>
      <c r="D247" s="1874"/>
      <c r="E247" s="1875"/>
      <c r="F247" s="1035"/>
      <c r="G247" s="543"/>
      <c r="H247" s="543"/>
    </row>
    <row r="248" spans="2:8">
      <c r="B248" s="1035"/>
      <c r="C248" s="1874"/>
      <c r="D248" s="1874"/>
      <c r="E248" s="1875"/>
      <c r="F248" s="1035"/>
      <c r="G248" s="543"/>
      <c r="H248" s="543"/>
    </row>
    <row r="249" spans="2:8">
      <c r="B249" s="1035"/>
      <c r="C249" s="1874"/>
      <c r="D249" s="1874"/>
      <c r="E249" s="1875"/>
      <c r="F249" s="1035"/>
      <c r="G249" s="543"/>
      <c r="H249" s="543"/>
    </row>
    <row r="250" spans="2:8">
      <c r="B250" s="1035"/>
      <c r="C250" s="1874"/>
      <c r="D250" s="1874"/>
      <c r="E250" s="1875"/>
      <c r="F250" s="1035"/>
      <c r="G250" s="543"/>
      <c r="H250" s="543"/>
    </row>
    <row r="251" spans="2:8">
      <c r="B251" s="1035"/>
      <c r="C251" s="1874"/>
      <c r="D251" s="1874"/>
      <c r="E251" s="1875"/>
      <c r="F251" s="1035"/>
      <c r="G251" s="543"/>
      <c r="H251" s="543"/>
    </row>
    <row r="252" spans="2:8">
      <c r="B252" s="1035"/>
      <c r="C252" s="1874"/>
      <c r="D252" s="1874"/>
      <c r="E252" s="1875"/>
      <c r="F252" s="1035"/>
      <c r="G252" s="543"/>
      <c r="H252" s="543"/>
    </row>
    <row r="253" spans="2:8">
      <c r="B253" s="1035"/>
      <c r="C253" s="1874"/>
      <c r="D253" s="1874"/>
      <c r="E253" s="1875"/>
      <c r="F253" s="1035"/>
      <c r="G253" s="543"/>
      <c r="H253" s="543"/>
    </row>
    <row r="254" spans="2:8">
      <c r="B254" s="1035"/>
      <c r="C254" s="1874"/>
      <c r="D254" s="1874"/>
      <c r="E254" s="1875"/>
      <c r="F254" s="1035"/>
      <c r="G254" s="543"/>
      <c r="H254" s="543"/>
    </row>
    <row r="255" spans="2:8">
      <c r="B255" s="1035"/>
      <c r="C255" s="1874"/>
      <c r="D255" s="1874"/>
      <c r="E255" s="1875"/>
      <c r="F255" s="1035"/>
      <c r="G255" s="543"/>
      <c r="H255" s="543"/>
    </row>
    <row r="256" spans="2:8">
      <c r="B256" s="1035"/>
      <c r="C256" s="1874"/>
      <c r="D256" s="1874"/>
      <c r="E256" s="1875"/>
      <c r="F256" s="1035"/>
      <c r="G256" s="543"/>
      <c r="H256" s="543"/>
    </row>
    <row r="257" spans="2:8">
      <c r="B257" s="1035"/>
      <c r="C257" s="1874"/>
      <c r="D257" s="1874"/>
      <c r="E257" s="1875"/>
      <c r="F257" s="1035"/>
      <c r="G257" s="543"/>
      <c r="H257" s="543"/>
    </row>
    <row r="258" spans="2:8">
      <c r="B258" s="1035"/>
      <c r="C258" s="1874"/>
      <c r="D258" s="1874"/>
      <c r="E258" s="1875"/>
      <c r="F258" s="1035"/>
      <c r="G258" s="543"/>
      <c r="H258" s="543"/>
    </row>
    <row r="259" spans="2:8">
      <c r="B259" s="1035"/>
      <c r="C259" s="1874"/>
      <c r="D259" s="1874"/>
      <c r="E259" s="1875"/>
      <c r="F259" s="1035"/>
      <c r="G259" s="543"/>
      <c r="H259" s="543"/>
    </row>
    <row r="260" spans="2:8">
      <c r="B260" s="1035"/>
      <c r="C260" s="1874"/>
      <c r="D260" s="1874"/>
      <c r="E260" s="1875"/>
      <c r="F260" s="1035"/>
      <c r="G260" s="543"/>
      <c r="H260" s="543"/>
    </row>
    <row r="261" spans="2:8">
      <c r="B261" s="1035"/>
      <c r="C261" s="1874"/>
      <c r="D261" s="1874"/>
      <c r="E261" s="1875"/>
      <c r="F261" s="1035"/>
      <c r="G261" s="543"/>
      <c r="H261" s="543"/>
    </row>
    <row r="262" spans="2:8">
      <c r="B262" s="1035"/>
      <c r="C262" s="1874"/>
      <c r="D262" s="1874"/>
      <c r="E262" s="1875"/>
      <c r="F262" s="1035"/>
      <c r="G262" s="543"/>
      <c r="H262" s="543"/>
    </row>
    <row r="263" spans="2:8">
      <c r="B263" s="1035"/>
      <c r="C263" s="1874"/>
      <c r="D263" s="1874"/>
      <c r="E263" s="1875"/>
      <c r="F263" s="1035"/>
      <c r="G263" s="543"/>
      <c r="H263" s="543"/>
    </row>
    <row r="264" spans="2:8">
      <c r="B264" s="1035"/>
      <c r="C264" s="1874"/>
      <c r="D264" s="1874"/>
      <c r="E264" s="1875"/>
      <c r="F264" s="1035"/>
      <c r="G264" s="543"/>
      <c r="H264" s="543"/>
    </row>
    <row r="265" spans="2:8">
      <c r="B265" s="1035"/>
      <c r="C265" s="1874"/>
      <c r="D265" s="1874"/>
      <c r="E265" s="1875"/>
      <c r="F265" s="1035"/>
      <c r="G265" s="543"/>
      <c r="H265" s="543"/>
    </row>
    <row r="266" spans="2:8">
      <c r="B266" s="1035"/>
      <c r="C266" s="1874"/>
      <c r="D266" s="1874"/>
      <c r="E266" s="1875"/>
      <c r="F266" s="1035"/>
      <c r="G266" s="543"/>
      <c r="H266" s="543"/>
    </row>
    <row r="267" spans="2:8">
      <c r="B267" s="1035"/>
      <c r="C267" s="1874"/>
      <c r="D267" s="1874"/>
      <c r="E267" s="1875"/>
      <c r="F267" s="1035"/>
      <c r="G267" s="543"/>
      <c r="H267" s="543"/>
    </row>
    <row r="268" spans="2:8">
      <c r="B268" s="1035"/>
      <c r="C268" s="1874"/>
      <c r="D268" s="1874"/>
      <c r="E268" s="1875"/>
      <c r="F268" s="1035"/>
      <c r="G268" s="543"/>
      <c r="H268" s="543"/>
    </row>
    <row r="269" spans="2:8">
      <c r="B269" s="1035"/>
      <c r="C269" s="1874"/>
      <c r="D269" s="1874"/>
      <c r="E269" s="1875"/>
      <c r="F269" s="1035"/>
      <c r="G269" s="543"/>
      <c r="H269" s="543"/>
    </row>
    <row r="270" spans="2:8">
      <c r="B270" s="1035"/>
      <c r="C270" s="1874"/>
      <c r="D270" s="1874"/>
      <c r="E270" s="1875"/>
      <c r="F270" s="1035"/>
      <c r="G270" s="543"/>
      <c r="H270" s="543"/>
    </row>
    <row r="271" spans="2:8">
      <c r="B271" s="1035"/>
      <c r="C271" s="1874"/>
      <c r="D271" s="1874"/>
      <c r="E271" s="1875"/>
      <c r="F271" s="1035"/>
      <c r="G271" s="543"/>
      <c r="H271" s="543"/>
    </row>
    <row r="272" spans="2:8">
      <c r="B272" s="1035"/>
      <c r="C272" s="1874"/>
      <c r="D272" s="1874"/>
      <c r="E272" s="1875"/>
      <c r="F272" s="1035"/>
      <c r="G272" s="543"/>
      <c r="H272" s="543"/>
    </row>
    <row r="273" spans="2:8">
      <c r="B273" s="1035"/>
      <c r="C273" s="1874"/>
      <c r="D273" s="1874"/>
      <c r="E273" s="1875"/>
      <c r="F273" s="1035"/>
      <c r="G273" s="543"/>
      <c r="H273" s="543"/>
    </row>
    <row r="274" spans="2:8">
      <c r="B274" s="1035"/>
      <c r="C274" s="1874"/>
      <c r="D274" s="1874"/>
      <c r="E274" s="1875"/>
      <c r="F274" s="1035"/>
      <c r="G274" s="543"/>
      <c r="H274" s="543"/>
    </row>
    <row r="275" spans="2:8">
      <c r="B275" s="1035"/>
      <c r="C275" s="1874"/>
      <c r="D275" s="1874"/>
      <c r="E275" s="1875"/>
      <c r="F275" s="1035"/>
      <c r="G275" s="543"/>
      <c r="H275" s="543"/>
    </row>
    <row r="276" spans="2:8">
      <c r="B276" s="1035"/>
      <c r="C276" s="1874"/>
      <c r="D276" s="1874"/>
      <c r="E276" s="1875"/>
      <c r="F276" s="1035"/>
      <c r="G276" s="543"/>
      <c r="H276" s="543"/>
    </row>
    <row r="277" spans="2:8">
      <c r="B277" s="1035"/>
      <c r="C277" s="1874"/>
      <c r="D277" s="1874"/>
      <c r="E277" s="1875"/>
      <c r="F277" s="1035"/>
      <c r="G277" s="543"/>
      <c r="H277" s="543"/>
    </row>
    <row r="278" spans="2:8">
      <c r="B278" s="1035"/>
      <c r="C278" s="1874"/>
      <c r="D278" s="1874"/>
      <c r="E278" s="1875"/>
      <c r="F278" s="1035"/>
      <c r="G278" s="543"/>
      <c r="H278" s="543"/>
    </row>
    <row r="279" spans="2:8">
      <c r="B279" s="1035"/>
      <c r="C279" s="1874"/>
      <c r="D279" s="1874"/>
      <c r="E279" s="1875"/>
      <c r="F279" s="1035"/>
      <c r="G279" s="543"/>
      <c r="H279" s="543"/>
    </row>
    <row r="280" spans="2:8">
      <c r="B280" s="1035"/>
      <c r="C280" s="1874"/>
      <c r="D280" s="1874"/>
      <c r="E280" s="1875"/>
      <c r="F280" s="1035"/>
      <c r="G280" s="543"/>
      <c r="H280" s="543"/>
    </row>
    <row r="281" spans="2:8">
      <c r="B281" s="1035"/>
      <c r="C281" s="1874"/>
      <c r="D281" s="1874"/>
      <c r="E281" s="1875"/>
      <c r="F281" s="1035"/>
      <c r="G281" s="543"/>
      <c r="H281" s="543"/>
    </row>
    <row r="282" spans="2:8">
      <c r="B282" s="1035"/>
      <c r="C282" s="1874"/>
      <c r="D282" s="1874"/>
      <c r="E282" s="1875"/>
      <c r="F282" s="1035"/>
      <c r="G282" s="543"/>
      <c r="H282" s="543"/>
    </row>
    <row r="283" spans="2:8">
      <c r="B283" s="1035"/>
      <c r="C283" s="1874"/>
      <c r="D283" s="1874"/>
      <c r="E283" s="1875"/>
      <c r="F283" s="1035"/>
      <c r="G283" s="543"/>
      <c r="H283" s="543"/>
    </row>
    <row r="284" spans="2:8">
      <c r="B284" s="1035"/>
      <c r="C284" s="1874"/>
      <c r="D284" s="1874"/>
      <c r="E284" s="1875"/>
      <c r="F284" s="1035"/>
      <c r="G284" s="543"/>
      <c r="H284" s="543"/>
    </row>
    <row r="285" spans="2:8">
      <c r="B285" s="1035"/>
      <c r="C285" s="1874"/>
      <c r="D285" s="1874"/>
      <c r="E285" s="1875"/>
      <c r="F285" s="1035"/>
      <c r="G285" s="543"/>
      <c r="H285" s="543"/>
    </row>
    <row r="286" spans="2:8">
      <c r="B286" s="1035"/>
      <c r="C286" s="1874"/>
      <c r="D286" s="1874"/>
      <c r="E286" s="1875"/>
      <c r="F286" s="1035"/>
      <c r="G286" s="543"/>
      <c r="H286" s="543"/>
    </row>
  </sheetData>
  <mergeCells count="35">
    <mergeCell ref="A100:B100"/>
    <mergeCell ref="A103:B103"/>
    <mergeCell ref="A106:B106"/>
    <mergeCell ref="A85:B85"/>
    <mergeCell ref="A91:B91"/>
    <mergeCell ref="A93:B93"/>
    <mergeCell ref="A95:B95"/>
    <mergeCell ref="A97:B97"/>
    <mergeCell ref="A68:B68"/>
    <mergeCell ref="A69:B69"/>
    <mergeCell ref="A72:B72"/>
    <mergeCell ref="A73:B73"/>
    <mergeCell ref="A78:B78"/>
    <mergeCell ref="A56:B56"/>
    <mergeCell ref="A58:B58"/>
    <mergeCell ref="A59:B59"/>
    <mergeCell ref="A62:B62"/>
    <mergeCell ref="A63:B63"/>
    <mergeCell ref="A47:B47"/>
    <mergeCell ref="A50:B50"/>
    <mergeCell ref="A51:B51"/>
    <mergeCell ref="A54:B54"/>
    <mergeCell ref="A55:B55"/>
    <mergeCell ref="A52:B52"/>
    <mergeCell ref="A53:B53"/>
    <mergeCell ref="A40:B40"/>
    <mergeCell ref="A41:B41"/>
    <mergeCell ref="A42:B42"/>
    <mergeCell ref="A45:B45"/>
    <mergeCell ref="A46:B46"/>
    <mergeCell ref="A2:F2"/>
    <mergeCell ref="A4:F4"/>
    <mergeCell ref="A5:F5"/>
    <mergeCell ref="A37:B37"/>
    <mergeCell ref="A39:B39"/>
  </mergeCells>
  <phoneticPr fontId="74" type="noConversion"/>
  <printOptions headings="1"/>
  <pageMargins left="0.59055118110236227" right="0.39370078740157483" top="0.39370078740157483" bottom="0.39370078740157483" header="0.11811023622047245" footer="0.51181102362204722"/>
  <pageSetup paperSize="9" scale="81" firstPageNumber="0" orientation="portrait" r:id="rId1"/>
  <headerFooter>
    <oddHeader>&amp;R&amp;A melléklet a /2026.(V.28.) önkormányzati rendelethez/ &amp;P.oldal</oddHeader>
  </headerFooter>
  <rowBreaks count="2" manualBreakCount="2">
    <brk id="44" max="16383" man="1"/>
    <brk id="8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78"/>
  <sheetViews>
    <sheetView zoomScaleNormal="100" workbookViewId="0">
      <selection activeCell="H13" sqref="H13"/>
    </sheetView>
  </sheetViews>
  <sheetFormatPr defaultRowHeight="12.75"/>
  <cols>
    <col min="1" max="1" width="3.5703125" style="115"/>
    <col min="2" max="2" width="61.140625" style="115"/>
    <col min="3" max="3" width="12.85546875" style="115"/>
    <col min="4" max="4" width="11" style="115"/>
    <col min="5" max="5" width="12" style="115"/>
    <col min="6" max="6" width="10.7109375" style="115"/>
    <col min="7" max="7" width="9.7109375" style="115"/>
    <col min="8" max="8" width="12" style="115"/>
    <col min="9" max="9" width="9.7109375" style="115"/>
    <col min="10" max="10" width="12.42578125" style="115"/>
    <col min="11" max="11" width="12.7109375" style="115"/>
    <col min="12" max="12" width="15.85546875" style="115"/>
    <col min="13" max="13" width="18.42578125" style="115"/>
    <col min="14" max="14" width="13.85546875" style="115" bestFit="1" customWidth="1"/>
    <col min="15" max="1025" width="8.7109375"/>
  </cols>
  <sheetData>
    <row r="1" spans="1:14" ht="24" customHeight="1">
      <c r="A1" s="2185" t="s">
        <v>2243</v>
      </c>
      <c r="B1" s="2185"/>
      <c r="C1" s="2185"/>
      <c r="D1" s="2185"/>
      <c r="E1" s="2185"/>
      <c r="F1" s="2185"/>
      <c r="G1" s="2185"/>
      <c r="H1" s="2185"/>
      <c r="I1" s="2185"/>
      <c r="J1" s="2185"/>
      <c r="K1" s="2185"/>
      <c r="L1" s="2185"/>
      <c r="M1" s="2185"/>
      <c r="N1" s="2185"/>
    </row>
    <row r="2" spans="1:14" ht="18.75" customHeight="1">
      <c r="A2" s="2185" t="s">
        <v>1533</v>
      </c>
      <c r="B2" s="2185"/>
      <c r="C2" s="2185"/>
      <c r="D2" s="2185"/>
      <c r="E2" s="2185"/>
      <c r="F2" s="2185"/>
      <c r="G2" s="2185"/>
      <c r="H2" s="2185"/>
      <c r="I2" s="2185"/>
      <c r="J2" s="2185"/>
      <c r="K2" s="2185"/>
      <c r="L2" s="2185"/>
      <c r="M2" s="2185"/>
      <c r="N2" s="2185"/>
    </row>
    <row r="3" spans="1:14">
      <c r="B3" s="217"/>
      <c r="C3" s="499" t="s">
        <v>295</v>
      </c>
      <c r="D3" s="2186" t="s">
        <v>172</v>
      </c>
      <c r="E3" s="2186"/>
      <c r="F3" s="2186"/>
      <c r="G3" s="2186"/>
      <c r="H3" s="2186"/>
      <c r="I3" s="2186"/>
      <c r="J3" s="2186"/>
      <c r="K3" s="2186"/>
      <c r="L3" s="2186"/>
      <c r="M3" s="2186"/>
      <c r="N3" s="218" t="s">
        <v>296</v>
      </c>
    </row>
    <row r="4" spans="1:14" ht="62.25" customHeight="1">
      <c r="A4" s="219"/>
      <c r="B4" s="220" t="s">
        <v>297</v>
      </c>
      <c r="C4" s="221" t="s">
        <v>168</v>
      </c>
      <c r="D4" s="500" t="s">
        <v>298</v>
      </c>
      <c r="E4" s="501" t="s">
        <v>299</v>
      </c>
      <c r="F4" s="502" t="s">
        <v>54</v>
      </c>
      <c r="G4" s="500" t="s">
        <v>149</v>
      </c>
      <c r="H4" s="501" t="s">
        <v>59</v>
      </c>
      <c r="I4" s="501" t="s">
        <v>300</v>
      </c>
      <c r="J4" s="501" t="s">
        <v>301</v>
      </c>
      <c r="K4" s="501" t="s">
        <v>302</v>
      </c>
      <c r="L4" s="503" t="s">
        <v>303</v>
      </c>
      <c r="M4" s="222" t="s">
        <v>168</v>
      </c>
      <c r="N4" s="504" t="s">
        <v>304</v>
      </c>
    </row>
    <row r="5" spans="1:14" ht="15.75" customHeight="1">
      <c r="A5" s="2187" t="s">
        <v>40</v>
      </c>
      <c r="B5" s="2187"/>
      <c r="C5" s="505"/>
      <c r="D5" s="223"/>
      <c r="E5" s="224"/>
      <c r="F5" s="224"/>
      <c r="G5" s="224"/>
      <c r="H5" s="224"/>
      <c r="I5" s="224"/>
      <c r="J5" s="224"/>
      <c r="K5" s="224"/>
      <c r="L5" s="224"/>
      <c r="M5" s="225"/>
      <c r="N5" s="1710"/>
    </row>
    <row r="6" spans="1:14">
      <c r="A6" s="506"/>
      <c r="B6" s="507" t="s">
        <v>305</v>
      </c>
      <c r="C6" s="508"/>
      <c r="D6" s="509"/>
      <c r="E6" s="510"/>
      <c r="F6" s="510"/>
      <c r="G6" s="510"/>
      <c r="H6" s="510"/>
      <c r="I6" s="510"/>
      <c r="J6" s="510"/>
      <c r="K6" s="510"/>
      <c r="L6" s="510"/>
      <c r="M6" s="511"/>
      <c r="N6" s="1711"/>
    </row>
    <row r="7" spans="1:14" s="1671" customFormat="1">
      <c r="A7" s="1689" t="s">
        <v>49</v>
      </c>
      <c r="B7" s="1690" t="s">
        <v>2207</v>
      </c>
      <c r="C7" s="1691">
        <f>155915000+9281000+1856000+24004000</f>
        <v>191056000</v>
      </c>
      <c r="D7" s="1692">
        <v>105103000</v>
      </c>
      <c r="E7" s="1693"/>
      <c r="F7" s="1693"/>
      <c r="G7" s="1693">
        <v>50087000</v>
      </c>
      <c r="H7" s="1693"/>
      <c r="I7" s="1693"/>
      <c r="J7" s="1693"/>
      <c r="K7" s="1693">
        <v>3857000</v>
      </c>
      <c r="L7" s="1693">
        <v>30806000</v>
      </c>
      <c r="M7" s="1694">
        <f>SUM(D7:L7)</f>
        <v>189853000</v>
      </c>
      <c r="N7" s="1712"/>
    </row>
    <row r="8" spans="1:14" s="1671" customFormat="1">
      <c r="A8" s="1689" t="s">
        <v>51</v>
      </c>
      <c r="B8" s="1690" t="s">
        <v>306</v>
      </c>
      <c r="C8" s="1691">
        <f>6373000+45454000+142689000</f>
        <v>194516000</v>
      </c>
      <c r="D8" s="1692">
        <v>6840000</v>
      </c>
      <c r="E8" s="1693"/>
      <c r="F8" s="1693"/>
      <c r="G8" s="1693">
        <v>35844000</v>
      </c>
      <c r="H8" s="1693">
        <v>0</v>
      </c>
      <c r="I8" s="1693"/>
      <c r="J8" s="1693"/>
      <c r="K8" s="1693"/>
      <c r="L8" s="1693">
        <v>151832000</v>
      </c>
      <c r="M8" s="1694">
        <f>SUM(D8:L8)</f>
        <v>194516000</v>
      </c>
      <c r="N8" s="1712"/>
    </row>
    <row r="9" spans="1:14" s="1671" customFormat="1">
      <c r="A9" s="1695"/>
      <c r="B9" s="1696" t="s">
        <v>308</v>
      </c>
      <c r="C9" s="1697">
        <f t="shared" ref="C9:L9" si="0">SUM(C7:C8)</f>
        <v>385572000</v>
      </c>
      <c r="D9" s="1698">
        <f t="shared" si="0"/>
        <v>111943000</v>
      </c>
      <c r="E9" s="1699">
        <f t="shared" si="0"/>
        <v>0</v>
      </c>
      <c r="F9" s="1699">
        <f t="shared" si="0"/>
        <v>0</v>
      </c>
      <c r="G9" s="1699">
        <f t="shared" si="0"/>
        <v>85931000</v>
      </c>
      <c r="H9" s="1699">
        <f t="shared" si="0"/>
        <v>0</v>
      </c>
      <c r="I9" s="1699">
        <f t="shared" si="0"/>
        <v>0</v>
      </c>
      <c r="J9" s="1699">
        <f t="shared" si="0"/>
        <v>0</v>
      </c>
      <c r="K9" s="1699">
        <f t="shared" si="0"/>
        <v>3857000</v>
      </c>
      <c r="L9" s="1699">
        <f t="shared" si="0"/>
        <v>182638000</v>
      </c>
      <c r="M9" s="1699">
        <f>SUM(M7:M8)</f>
        <v>384369000</v>
      </c>
      <c r="N9" s="1713">
        <f>L9/C9</f>
        <v>0.4736806614588196</v>
      </c>
    </row>
    <row r="10" spans="1:14" s="1671" customFormat="1">
      <c r="A10" s="1700"/>
      <c r="B10" s="1701" t="s">
        <v>309</v>
      </c>
      <c r="C10" s="1697"/>
      <c r="D10" s="1702"/>
      <c r="E10" s="1699"/>
      <c r="F10" s="1699"/>
      <c r="G10" s="1699"/>
      <c r="H10" s="1699"/>
      <c r="I10" s="1699"/>
      <c r="J10" s="1699"/>
      <c r="K10" s="1699"/>
      <c r="L10" s="1699"/>
      <c r="M10" s="1703"/>
      <c r="N10" s="1713"/>
    </row>
    <row r="11" spans="1:14" s="1671" customFormat="1">
      <c r="A11" s="1704" t="s">
        <v>49</v>
      </c>
      <c r="B11" s="1660" t="s">
        <v>334</v>
      </c>
      <c r="C11" s="1661">
        <v>3301000</v>
      </c>
      <c r="D11" s="1705"/>
      <c r="E11" s="1706"/>
      <c r="F11" s="1706"/>
      <c r="G11" s="1662">
        <v>1745000</v>
      </c>
      <c r="H11" s="1706"/>
      <c r="I11" s="1706"/>
      <c r="J11" s="1706"/>
      <c r="K11" s="1706"/>
      <c r="L11" s="1662">
        <v>1556000</v>
      </c>
      <c r="M11" s="1707">
        <f>SUM(D11:L11)</f>
        <v>3301000</v>
      </c>
      <c r="N11" s="1714"/>
    </row>
    <row r="12" spans="1:14" s="1671" customFormat="1">
      <c r="A12" s="1700"/>
      <c r="B12" s="484" t="s">
        <v>311</v>
      </c>
      <c r="C12" s="1697">
        <f>SUM(C11:C11)</f>
        <v>3301000</v>
      </c>
      <c r="D12" s="1702">
        <f>SUM(D11)</f>
        <v>0</v>
      </c>
      <c r="E12" s="1699">
        <f t="shared" ref="E12:F12" si="1">SUM(E11:E11)</f>
        <v>0</v>
      </c>
      <c r="F12" s="1699">
        <f t="shared" si="1"/>
        <v>0</v>
      </c>
      <c r="G12" s="1699">
        <f>SUM(G11:G11)</f>
        <v>1745000</v>
      </c>
      <c r="H12" s="1699">
        <f t="shared" ref="H12:K12" si="2">SUM(H11:H11)</f>
        <v>0</v>
      </c>
      <c r="I12" s="1699">
        <f t="shared" si="2"/>
        <v>0</v>
      </c>
      <c r="J12" s="1699">
        <f t="shared" si="2"/>
        <v>0</v>
      </c>
      <c r="K12" s="1699">
        <f t="shared" si="2"/>
        <v>0</v>
      </c>
      <c r="L12" s="1699">
        <f>L11</f>
        <v>1556000</v>
      </c>
      <c r="M12" s="1699">
        <f>M11</f>
        <v>3301000</v>
      </c>
      <c r="N12" s="1713">
        <f>L12/C12</f>
        <v>0.47137231142078156</v>
      </c>
    </row>
    <row r="13" spans="1:14" s="1671" customFormat="1">
      <c r="A13" s="1700"/>
      <c r="B13" s="484" t="s">
        <v>168</v>
      </c>
      <c r="C13" s="1697">
        <f>C9+C12</f>
        <v>388873000</v>
      </c>
      <c r="D13" s="1702">
        <f>D9+D12</f>
        <v>111943000</v>
      </c>
      <c r="E13" s="1699">
        <f t="shared" ref="E13:F13" si="3">E9+E12</f>
        <v>0</v>
      </c>
      <c r="F13" s="1699">
        <f t="shared" si="3"/>
        <v>0</v>
      </c>
      <c r="G13" s="1699">
        <f>G9+G12</f>
        <v>87676000</v>
      </c>
      <c r="H13" s="1699">
        <f t="shared" ref="H13:K13" si="4">H9+H12</f>
        <v>0</v>
      </c>
      <c r="I13" s="1699">
        <f t="shared" si="4"/>
        <v>0</v>
      </c>
      <c r="J13" s="1699">
        <f t="shared" si="4"/>
        <v>0</v>
      </c>
      <c r="K13" s="1699">
        <f t="shared" si="4"/>
        <v>3857000</v>
      </c>
      <c r="L13" s="1699">
        <f>L9+L12</f>
        <v>184194000</v>
      </c>
      <c r="M13" s="1703">
        <f>M9+M12</f>
        <v>387670000</v>
      </c>
      <c r="N13" s="1713">
        <f>L13/C13</f>
        <v>0.47366106672358327</v>
      </c>
    </row>
    <row r="14" spans="1:14" ht="15.75" customHeight="1">
      <c r="A14" s="2188" t="s">
        <v>41</v>
      </c>
      <c r="B14" s="2188"/>
      <c r="C14" s="512"/>
      <c r="D14" s="226"/>
      <c r="E14" s="227"/>
      <c r="F14" s="227"/>
      <c r="G14" s="227"/>
      <c r="H14" s="227"/>
      <c r="I14" s="227"/>
      <c r="J14" s="227"/>
      <c r="K14" s="227"/>
      <c r="L14" s="227"/>
      <c r="M14" s="228"/>
      <c r="N14" s="1715"/>
    </row>
    <row r="15" spans="1:14">
      <c r="A15" s="229"/>
      <c r="B15" s="230" t="s">
        <v>305</v>
      </c>
      <c r="C15" s="513"/>
      <c r="D15" s="231"/>
      <c r="E15" s="232"/>
      <c r="F15" s="232"/>
      <c r="G15" s="232"/>
      <c r="H15" s="232"/>
      <c r="I15" s="232"/>
      <c r="J15" s="232"/>
      <c r="K15" s="232"/>
      <c r="L15" s="232"/>
      <c r="M15" s="233"/>
      <c r="N15" s="1716"/>
    </row>
    <row r="16" spans="1:14">
      <c r="A16" s="234" t="s">
        <v>49</v>
      </c>
      <c r="B16" s="235" t="s">
        <v>307</v>
      </c>
      <c r="C16" s="236">
        <v>267444000</v>
      </c>
      <c r="D16" s="237">
        <f>236495000+13599000</f>
        <v>250094000</v>
      </c>
      <c r="E16" s="238"/>
      <c r="F16" s="238"/>
      <c r="G16" s="238">
        <v>360000</v>
      </c>
      <c r="H16" s="238"/>
      <c r="I16" s="238"/>
      <c r="J16" s="238"/>
      <c r="K16" s="238">
        <v>1044000</v>
      </c>
      <c r="L16" s="238">
        <v>23351000</v>
      </c>
      <c r="M16" s="239">
        <f>SUM(D16:L16)</f>
        <v>274849000</v>
      </c>
      <c r="N16" s="1717"/>
    </row>
    <row r="17" spans="1:14">
      <c r="A17" s="514"/>
      <c r="B17" s="240" t="s">
        <v>308</v>
      </c>
      <c r="C17" s="241">
        <f t="shared" ref="C17:M17" si="5">SUM(C16)</f>
        <v>267444000</v>
      </c>
      <c r="D17" s="242">
        <f t="shared" si="5"/>
        <v>250094000</v>
      </c>
      <c r="E17" s="515">
        <f t="shared" si="5"/>
        <v>0</v>
      </c>
      <c r="F17" s="243">
        <f t="shared" si="5"/>
        <v>0</v>
      </c>
      <c r="G17" s="243">
        <f t="shared" si="5"/>
        <v>360000</v>
      </c>
      <c r="H17" s="243">
        <f t="shared" si="5"/>
        <v>0</v>
      </c>
      <c r="I17" s="243">
        <f t="shared" si="5"/>
        <v>0</v>
      </c>
      <c r="J17" s="243">
        <f t="shared" si="5"/>
        <v>0</v>
      </c>
      <c r="K17" s="243">
        <f t="shared" si="5"/>
        <v>1044000</v>
      </c>
      <c r="L17" s="243">
        <f t="shared" si="5"/>
        <v>23351000</v>
      </c>
      <c r="M17" s="242">
        <f t="shared" si="5"/>
        <v>274849000</v>
      </c>
      <c r="N17" s="1718">
        <f>L17/C17</f>
        <v>8.7311736288718383E-2</v>
      </c>
    </row>
    <row r="18" spans="1:14">
      <c r="A18" s="244"/>
      <c r="B18" s="230" t="s">
        <v>309</v>
      </c>
      <c r="C18" s="513"/>
      <c r="D18" s="231"/>
      <c r="E18" s="232"/>
      <c r="F18" s="232"/>
      <c r="G18" s="232"/>
      <c r="H18" s="232"/>
      <c r="I18" s="232"/>
      <c r="J18" s="232"/>
      <c r="K18" s="232"/>
      <c r="L18" s="232">
        <f>C18-D18-E18-F18-G18-K18</f>
        <v>0</v>
      </c>
      <c r="M18" s="245">
        <f>SUM(D18:L18)</f>
        <v>0</v>
      </c>
      <c r="N18" s="1719"/>
    </row>
    <row r="19" spans="1:14">
      <c r="A19" s="246" t="s">
        <v>49</v>
      </c>
      <c r="B19" s="235" t="s">
        <v>310</v>
      </c>
      <c r="C19" s="236">
        <v>102092000</v>
      </c>
      <c r="D19" s="247">
        <v>85087000</v>
      </c>
      <c r="E19" s="248"/>
      <c r="F19" s="248"/>
      <c r="G19" s="248">
        <v>794000</v>
      </c>
      <c r="H19" s="248"/>
      <c r="I19" s="248"/>
      <c r="J19" s="248"/>
      <c r="K19" s="248"/>
      <c r="L19" s="248">
        <v>8538000</v>
      </c>
      <c r="M19" s="249">
        <f>SUM(D19:L19)</f>
        <v>94419000</v>
      </c>
      <c r="N19" s="1720"/>
    </row>
    <row r="20" spans="1:14">
      <c r="A20" s="244"/>
      <c r="B20" s="240" t="s">
        <v>311</v>
      </c>
      <c r="C20" s="241">
        <f t="shared" ref="C20:M20" si="6">SUM(C19)</f>
        <v>102092000</v>
      </c>
      <c r="D20" s="242">
        <f t="shared" si="6"/>
        <v>85087000</v>
      </c>
      <c r="E20" s="516">
        <f t="shared" si="6"/>
        <v>0</v>
      </c>
      <c r="F20" s="232">
        <f t="shared" si="6"/>
        <v>0</v>
      </c>
      <c r="G20" s="232">
        <f t="shared" si="6"/>
        <v>794000</v>
      </c>
      <c r="H20" s="232">
        <f t="shared" si="6"/>
        <v>0</v>
      </c>
      <c r="I20" s="232">
        <f t="shared" si="6"/>
        <v>0</v>
      </c>
      <c r="J20" s="232">
        <f t="shared" si="6"/>
        <v>0</v>
      </c>
      <c r="K20" s="232">
        <f t="shared" si="6"/>
        <v>0</v>
      </c>
      <c r="L20" s="243">
        <f t="shared" si="6"/>
        <v>8538000</v>
      </c>
      <c r="M20" s="242">
        <f t="shared" si="6"/>
        <v>94419000</v>
      </c>
      <c r="N20" s="1721"/>
    </row>
    <row r="21" spans="1:14">
      <c r="A21" s="250"/>
      <c r="B21" s="230" t="s">
        <v>168</v>
      </c>
      <c r="C21" s="251">
        <f t="shared" ref="C21:K21" si="7">C17+C20</f>
        <v>369536000</v>
      </c>
      <c r="D21" s="245">
        <f t="shared" si="7"/>
        <v>335181000</v>
      </c>
      <c r="E21" s="517">
        <f t="shared" si="7"/>
        <v>0</v>
      </c>
      <c r="F21" s="252">
        <f t="shared" si="7"/>
        <v>0</v>
      </c>
      <c r="G21" s="252">
        <f t="shared" si="7"/>
        <v>1154000</v>
      </c>
      <c r="H21" s="252">
        <f t="shared" si="7"/>
        <v>0</v>
      </c>
      <c r="I21" s="252">
        <f t="shared" si="7"/>
        <v>0</v>
      </c>
      <c r="J21" s="252">
        <f t="shared" si="7"/>
        <v>0</v>
      </c>
      <c r="K21" s="252">
        <f t="shared" si="7"/>
        <v>1044000</v>
      </c>
      <c r="L21" s="252">
        <f>L17+L20</f>
        <v>31889000</v>
      </c>
      <c r="M21" s="245">
        <f>M17+M20</f>
        <v>369268000</v>
      </c>
      <c r="N21" s="1719">
        <f>L21/C21</f>
        <v>8.6294704710772427E-2</v>
      </c>
    </row>
    <row r="22" spans="1:14">
      <c r="A22" s="2189" t="s">
        <v>42</v>
      </c>
      <c r="B22" s="2189"/>
      <c r="C22" s="512"/>
      <c r="D22" s="226"/>
      <c r="E22" s="227"/>
      <c r="F22" s="227"/>
      <c r="G22" s="227"/>
      <c r="H22" s="227"/>
      <c r="I22" s="227"/>
      <c r="J22" s="227"/>
      <c r="K22" s="227"/>
      <c r="L22" s="227"/>
      <c r="M22" s="253"/>
      <c r="N22" s="1722"/>
    </row>
    <row r="23" spans="1:14">
      <c r="A23" s="255"/>
      <c r="B23" s="256" t="s">
        <v>305</v>
      </c>
      <c r="C23" s="268"/>
      <c r="D23" s="257"/>
      <c r="E23" s="258"/>
      <c r="F23" s="258"/>
      <c r="G23" s="258"/>
      <c r="H23" s="258"/>
      <c r="I23" s="258"/>
      <c r="J23" s="258"/>
      <c r="K23" s="258"/>
      <c r="L23" s="258"/>
      <c r="M23" s="259"/>
      <c r="N23" s="1723"/>
    </row>
    <row r="24" spans="1:14">
      <c r="A24" s="260" t="s">
        <v>49</v>
      </c>
      <c r="B24" s="261" t="s">
        <v>312</v>
      </c>
      <c r="C24" s="262">
        <v>135707000</v>
      </c>
      <c r="D24" s="263">
        <v>41811000</v>
      </c>
      <c r="E24" s="264">
        <v>564000</v>
      </c>
      <c r="F24" s="264"/>
      <c r="G24" s="264">
        <v>14978000</v>
      </c>
      <c r="H24" s="264"/>
      <c r="I24" s="264">
        <v>211000</v>
      </c>
      <c r="J24" s="264"/>
      <c r="K24" s="264">
        <v>2876000</v>
      </c>
      <c r="L24" s="265">
        <v>82780000</v>
      </c>
      <c r="M24" s="266">
        <f>SUM(D24:L24)</f>
        <v>143220000</v>
      </c>
      <c r="N24" s="1724"/>
    </row>
    <row r="25" spans="1:14">
      <c r="A25" s="255"/>
      <c r="B25" s="267" t="s">
        <v>308</v>
      </c>
      <c r="C25" s="268">
        <f t="shared" ref="C25:M25" si="8">SUM(C24)</f>
        <v>135707000</v>
      </c>
      <c r="D25" s="269">
        <f t="shared" si="8"/>
        <v>41811000</v>
      </c>
      <c r="E25" s="277">
        <f t="shared" si="8"/>
        <v>564000</v>
      </c>
      <c r="F25" s="258">
        <f t="shared" si="8"/>
        <v>0</v>
      </c>
      <c r="G25" s="258">
        <f t="shared" si="8"/>
        <v>14978000</v>
      </c>
      <c r="H25" s="258">
        <f t="shared" si="8"/>
        <v>0</v>
      </c>
      <c r="I25" s="258">
        <f t="shared" si="8"/>
        <v>211000</v>
      </c>
      <c r="J25" s="258">
        <f t="shared" si="8"/>
        <v>0</v>
      </c>
      <c r="K25" s="258">
        <f t="shared" si="8"/>
        <v>2876000</v>
      </c>
      <c r="L25" s="258">
        <f t="shared" si="8"/>
        <v>82780000</v>
      </c>
      <c r="M25" s="269">
        <f t="shared" si="8"/>
        <v>143220000</v>
      </c>
      <c r="N25" s="1725">
        <f>L25/C25</f>
        <v>0.60999064160286498</v>
      </c>
    </row>
    <row r="26" spans="1:14">
      <c r="A26" s="255"/>
      <c r="B26" s="256" t="s">
        <v>309</v>
      </c>
      <c r="C26" s="268"/>
      <c r="D26" s="257"/>
      <c r="E26" s="258"/>
      <c r="F26" s="258"/>
      <c r="G26" s="258"/>
      <c r="H26" s="258"/>
      <c r="I26" s="258"/>
      <c r="J26" s="258"/>
      <c r="K26" s="258"/>
      <c r="L26" s="258"/>
      <c r="M26" s="259"/>
      <c r="N26" s="1726"/>
    </row>
    <row r="27" spans="1:14">
      <c r="A27" s="260" t="s">
        <v>49</v>
      </c>
      <c r="B27" s="270" t="s">
        <v>313</v>
      </c>
      <c r="C27" s="271">
        <v>24283000</v>
      </c>
      <c r="D27" s="272">
        <v>0</v>
      </c>
      <c r="E27" s="273"/>
      <c r="F27" s="273"/>
      <c r="G27" s="273">
        <v>1121000</v>
      </c>
      <c r="H27" s="273"/>
      <c r="I27" s="273"/>
      <c r="J27" s="273"/>
      <c r="K27" s="273"/>
      <c r="L27" s="273">
        <v>23162000</v>
      </c>
      <c r="M27" s="274">
        <f t="shared" ref="M27:M30" si="9">SUM(D27:L27)</f>
        <v>24283000</v>
      </c>
      <c r="N27" s="1672"/>
    </row>
    <row r="28" spans="1:14">
      <c r="A28" s="260" t="s">
        <v>51</v>
      </c>
      <c r="B28" s="270" t="s">
        <v>314</v>
      </c>
      <c r="C28" s="271"/>
      <c r="D28" s="272">
        <v>0</v>
      </c>
      <c r="E28" s="273"/>
      <c r="F28" s="273"/>
      <c r="G28" s="273"/>
      <c r="H28" s="273"/>
      <c r="I28" s="273"/>
      <c r="J28" s="273"/>
      <c r="K28" s="273"/>
      <c r="L28" s="273"/>
      <c r="M28" s="274">
        <f t="shared" si="9"/>
        <v>0</v>
      </c>
      <c r="N28" s="1672"/>
    </row>
    <row r="29" spans="1:14">
      <c r="A29" s="260" t="s">
        <v>53</v>
      </c>
      <c r="B29" s="270" t="s">
        <v>317</v>
      </c>
      <c r="C29" s="271">
        <v>0</v>
      </c>
      <c r="D29" s="274"/>
      <c r="E29" s="275"/>
      <c r="F29" s="273"/>
      <c r="G29" s="273"/>
      <c r="H29" s="273"/>
      <c r="I29" s="273"/>
      <c r="J29" s="273"/>
      <c r="K29" s="273"/>
      <c r="L29" s="273"/>
      <c r="M29" s="274">
        <f>SUM(D29:L29)</f>
        <v>0</v>
      </c>
      <c r="N29" s="1672"/>
    </row>
    <row r="30" spans="1:14">
      <c r="A30" s="260" t="s">
        <v>55</v>
      </c>
      <c r="B30" s="270" t="s">
        <v>315</v>
      </c>
      <c r="C30" s="271">
        <v>10255000</v>
      </c>
      <c r="D30" s="272">
        <v>600000</v>
      </c>
      <c r="E30" s="273"/>
      <c r="F30" s="273"/>
      <c r="G30" s="273">
        <v>157000</v>
      </c>
      <c r="H30" s="273"/>
      <c r="I30" s="273"/>
      <c r="J30" s="273"/>
      <c r="K30" s="273"/>
      <c r="L30" s="273">
        <v>9498000</v>
      </c>
      <c r="M30" s="274">
        <f t="shared" si="9"/>
        <v>10255000</v>
      </c>
      <c r="N30" s="1672"/>
    </row>
    <row r="31" spans="1:14" ht="14.25" customHeight="1">
      <c r="A31" s="260" t="s">
        <v>58</v>
      </c>
      <c r="B31" s="270" t="s">
        <v>318</v>
      </c>
      <c r="C31" s="271">
        <v>16028000</v>
      </c>
      <c r="D31" s="274">
        <v>716000</v>
      </c>
      <c r="E31" s="275">
        <v>277000</v>
      </c>
      <c r="F31" s="273"/>
      <c r="G31" s="273">
        <v>14440000</v>
      </c>
      <c r="H31" s="273"/>
      <c r="I31" s="273"/>
      <c r="J31" s="273"/>
      <c r="K31" s="273"/>
      <c r="L31" s="273">
        <v>595000</v>
      </c>
      <c r="M31" s="274">
        <f>SUM(D31:L31)</f>
        <v>16028000</v>
      </c>
      <c r="N31" s="1672"/>
    </row>
    <row r="32" spans="1:14">
      <c r="A32" s="260" t="s">
        <v>60</v>
      </c>
      <c r="B32" s="270" t="s">
        <v>316</v>
      </c>
      <c r="C32" s="271">
        <v>5967000</v>
      </c>
      <c r="D32" s="272"/>
      <c r="E32" s="273"/>
      <c r="F32" s="273"/>
      <c r="G32" s="273"/>
      <c r="H32" s="273"/>
      <c r="I32" s="273"/>
      <c r="J32" s="273"/>
      <c r="K32" s="273"/>
      <c r="L32" s="273">
        <v>5967000</v>
      </c>
      <c r="M32" s="274">
        <f>SUM(D32:L32)</f>
        <v>5967000</v>
      </c>
      <c r="N32" s="1672"/>
    </row>
    <row r="33" spans="1:14">
      <c r="A33" s="276"/>
      <c r="B33" s="267" t="s">
        <v>311</v>
      </c>
      <c r="C33" s="268">
        <f>SUM(C27:C32)</f>
        <v>56533000</v>
      </c>
      <c r="D33" s="269">
        <f>SUM(D27:D32)</f>
        <v>1316000</v>
      </c>
      <c r="E33" s="277">
        <f>SUM(E27:E32)</f>
        <v>277000</v>
      </c>
      <c r="F33" s="277">
        <f t="shared" ref="F33:K33" si="10">SUM(F27:F32)</f>
        <v>0</v>
      </c>
      <c r="G33" s="277">
        <f t="shared" si="10"/>
        <v>15718000</v>
      </c>
      <c r="H33" s="277">
        <f t="shared" si="10"/>
        <v>0</v>
      </c>
      <c r="I33" s="277">
        <f t="shared" si="10"/>
        <v>0</v>
      </c>
      <c r="J33" s="277">
        <f t="shared" si="10"/>
        <v>0</v>
      </c>
      <c r="K33" s="277">
        <f t="shared" si="10"/>
        <v>0</v>
      </c>
      <c r="L33" s="258">
        <f>SUM(L27:L32)</f>
        <v>39222000</v>
      </c>
      <c r="M33" s="269">
        <f>SUM(M27:M32)</f>
        <v>56533000</v>
      </c>
      <c r="N33" s="1725"/>
    </row>
    <row r="34" spans="1:14">
      <c r="A34" s="278"/>
      <c r="B34" s="279" t="s">
        <v>168</v>
      </c>
      <c r="C34" s="280">
        <f t="shared" ref="C34:K34" si="11">C25+C33</f>
        <v>192240000</v>
      </c>
      <c r="D34" s="259">
        <f t="shared" si="11"/>
        <v>43127000</v>
      </c>
      <c r="E34" s="281">
        <f t="shared" si="11"/>
        <v>841000</v>
      </c>
      <c r="F34" s="282">
        <f t="shared" si="11"/>
        <v>0</v>
      </c>
      <c r="G34" s="282">
        <f t="shared" si="11"/>
        <v>30696000</v>
      </c>
      <c r="H34" s="282">
        <f t="shared" si="11"/>
        <v>0</v>
      </c>
      <c r="I34" s="282">
        <f t="shared" si="11"/>
        <v>211000</v>
      </c>
      <c r="J34" s="282">
        <f t="shared" si="11"/>
        <v>0</v>
      </c>
      <c r="K34" s="282">
        <f t="shared" si="11"/>
        <v>2876000</v>
      </c>
      <c r="L34" s="1708">
        <f>SUM(L27:L31,L24)</f>
        <v>116035000</v>
      </c>
      <c r="M34" s="259">
        <f>M25+M33</f>
        <v>199753000</v>
      </c>
      <c r="N34" s="1726">
        <f>L34/C34</f>
        <v>0.60359446525176863</v>
      </c>
    </row>
    <row r="35" spans="1:14">
      <c r="A35" s="2189" t="s">
        <v>319</v>
      </c>
      <c r="B35" s="2189"/>
      <c r="C35" s="518"/>
      <c r="D35" s="223"/>
      <c r="E35" s="224"/>
      <c r="F35" s="224"/>
      <c r="G35" s="224"/>
      <c r="H35" s="224"/>
      <c r="I35" s="224"/>
      <c r="J35" s="224"/>
      <c r="K35" s="224"/>
      <c r="L35" s="224"/>
      <c r="M35" s="283"/>
      <c r="N35" s="254"/>
    </row>
    <row r="36" spans="1:14">
      <c r="A36" s="284"/>
      <c r="B36" s="285" t="s">
        <v>305</v>
      </c>
      <c r="C36" s="519"/>
      <c r="D36" s="286"/>
      <c r="E36" s="287"/>
      <c r="F36" s="287"/>
      <c r="G36" s="287"/>
      <c r="H36" s="287"/>
      <c r="I36" s="287"/>
      <c r="J36" s="287"/>
      <c r="K36" s="287"/>
      <c r="L36" s="288">
        <f>C36-SUM(D36:K36)</f>
        <v>0</v>
      </c>
      <c r="M36" s="289">
        <f>SUM(D36:L36)</f>
        <v>0</v>
      </c>
      <c r="N36" s="290"/>
    </row>
    <row r="37" spans="1:14">
      <c r="A37" s="291" t="s">
        <v>49</v>
      </c>
      <c r="B37" s="292" t="s">
        <v>320</v>
      </c>
      <c r="C37" s="293">
        <f>'4.'!N26</f>
        <v>220866701.28</v>
      </c>
      <c r="D37" s="294">
        <f>'1.'!D8</f>
        <v>152939000</v>
      </c>
      <c r="E37" s="295"/>
      <c r="F37" s="295">
        <v>50000</v>
      </c>
      <c r="G37" s="295">
        <f>'2.'!N12</f>
        <v>1967000</v>
      </c>
      <c r="H37" s="295">
        <v>25000</v>
      </c>
      <c r="I37" s="295"/>
      <c r="J37" s="295"/>
      <c r="K37" s="295">
        <f>'2.'!N28</f>
        <v>20000</v>
      </c>
      <c r="L37" s="295">
        <v>65870000</v>
      </c>
      <c r="M37" s="296">
        <f>SUM(D37:L37)</f>
        <v>220871000</v>
      </c>
      <c r="N37" s="297"/>
    </row>
    <row r="38" spans="1:14">
      <c r="A38" s="298"/>
      <c r="B38" s="1673" t="s">
        <v>308</v>
      </c>
      <c r="C38" s="299">
        <f t="shared" ref="C38:M38" si="12">SUM(C37:C37)</f>
        <v>220866701.28</v>
      </c>
      <c r="D38" s="300">
        <f t="shared" si="12"/>
        <v>152939000</v>
      </c>
      <c r="E38" s="301">
        <f t="shared" si="12"/>
        <v>0</v>
      </c>
      <c r="F38" s="302">
        <f t="shared" si="12"/>
        <v>50000</v>
      </c>
      <c r="G38" s="302">
        <f t="shared" si="12"/>
        <v>1967000</v>
      </c>
      <c r="H38" s="302">
        <f t="shared" si="12"/>
        <v>25000</v>
      </c>
      <c r="I38" s="302">
        <f t="shared" si="12"/>
        <v>0</v>
      </c>
      <c r="J38" s="302">
        <f t="shared" si="12"/>
        <v>0</v>
      </c>
      <c r="K38" s="302">
        <f t="shared" si="12"/>
        <v>20000</v>
      </c>
      <c r="L38" s="302">
        <f>SUM(L37:L37)</f>
        <v>65870000</v>
      </c>
      <c r="M38" s="300">
        <f t="shared" si="12"/>
        <v>220871000</v>
      </c>
      <c r="N38" s="303">
        <f>L38/C38</f>
        <v>0.29823418205759511</v>
      </c>
    </row>
    <row r="39" spans="1:14">
      <c r="A39" s="284"/>
      <c r="B39" s="285" t="s">
        <v>2208</v>
      </c>
      <c r="C39" s="519"/>
      <c r="D39" s="286"/>
      <c r="E39" s="287"/>
      <c r="F39" s="287"/>
      <c r="G39" s="287"/>
      <c r="H39" s="287"/>
      <c r="I39" s="287"/>
      <c r="J39" s="287"/>
      <c r="K39" s="287"/>
      <c r="L39" s="288">
        <f>C39-SUM(D39:K39)</f>
        <v>0</v>
      </c>
      <c r="M39" s="289">
        <f>SUM(D39:L39)</f>
        <v>0</v>
      </c>
      <c r="N39" s="290"/>
    </row>
    <row r="40" spans="1:14">
      <c r="A40" s="291" t="s">
        <v>49</v>
      </c>
      <c r="B40" s="292" t="s">
        <v>320</v>
      </c>
      <c r="C40" s="293">
        <f>'4.'!N29</f>
        <v>0</v>
      </c>
      <c r="D40" s="1682"/>
      <c r="E40" s="295"/>
      <c r="F40" s="295"/>
      <c r="G40" s="295"/>
      <c r="H40" s="295"/>
      <c r="I40" s="295"/>
      <c r="J40" s="295"/>
      <c r="K40" s="295">
        <f>'2.'!N31</f>
        <v>0</v>
      </c>
      <c r="L40" s="295"/>
      <c r="M40" s="295">
        <f>SUM(D40:L40)</f>
        <v>0</v>
      </c>
      <c r="N40" s="297"/>
    </row>
    <row r="41" spans="1:14">
      <c r="A41" s="298"/>
      <c r="B41" s="1673" t="s">
        <v>2209</v>
      </c>
      <c r="C41" s="299">
        <f>SUM(C40)</f>
        <v>0</v>
      </c>
      <c r="D41" s="1683">
        <f>SUM(D40)</f>
        <v>0</v>
      </c>
      <c r="E41" s="302">
        <f t="shared" ref="E41:L41" si="13">SUM(E40)</f>
        <v>0</v>
      </c>
      <c r="F41" s="302">
        <f t="shared" si="13"/>
        <v>0</v>
      </c>
      <c r="G41" s="302">
        <f t="shared" si="13"/>
        <v>0</v>
      </c>
      <c r="H41" s="302">
        <f t="shared" si="13"/>
        <v>0</v>
      </c>
      <c r="I41" s="302">
        <f t="shared" si="13"/>
        <v>0</v>
      </c>
      <c r="J41" s="302">
        <f t="shared" si="13"/>
        <v>0</v>
      </c>
      <c r="K41" s="302">
        <f t="shared" si="13"/>
        <v>0</v>
      </c>
      <c r="L41" s="302">
        <f t="shared" si="13"/>
        <v>0</v>
      </c>
      <c r="M41" s="302">
        <f t="shared" ref="M41" si="14">SUM(M40:M40)</f>
        <v>0</v>
      </c>
      <c r="N41" s="303"/>
    </row>
    <row r="42" spans="1:14">
      <c r="A42" s="298"/>
      <c r="B42" s="1681" t="s">
        <v>168</v>
      </c>
      <c r="C42" s="299">
        <f>C38+C41</f>
        <v>220866701.28</v>
      </c>
      <c r="D42" s="1683">
        <f>D38+D41</f>
        <v>152939000</v>
      </c>
      <c r="E42" s="302">
        <f t="shared" ref="E42:M42" si="15">E38+E41</f>
        <v>0</v>
      </c>
      <c r="F42" s="302">
        <f t="shared" si="15"/>
        <v>50000</v>
      </c>
      <c r="G42" s="302">
        <f t="shared" si="15"/>
        <v>1967000</v>
      </c>
      <c r="H42" s="302">
        <f t="shared" si="15"/>
        <v>25000</v>
      </c>
      <c r="I42" s="302">
        <f t="shared" si="15"/>
        <v>0</v>
      </c>
      <c r="J42" s="302">
        <f t="shared" si="15"/>
        <v>0</v>
      </c>
      <c r="K42" s="302">
        <f t="shared" si="15"/>
        <v>20000</v>
      </c>
      <c r="L42" s="302">
        <f t="shared" si="15"/>
        <v>65870000</v>
      </c>
      <c r="M42" s="302">
        <f t="shared" si="15"/>
        <v>220871000</v>
      </c>
      <c r="N42" s="303">
        <f>L42/C42</f>
        <v>0.29823418205759511</v>
      </c>
    </row>
    <row r="43" spans="1:14" s="1678" customFormat="1">
      <c r="A43" s="1675"/>
      <c r="B43" s="1676"/>
      <c r="C43" s="1674"/>
      <c r="D43" s="1674"/>
      <c r="E43" s="1674"/>
      <c r="F43" s="1674"/>
      <c r="G43" s="1674"/>
      <c r="H43" s="1674"/>
      <c r="I43" s="1674"/>
      <c r="J43" s="1674"/>
      <c r="K43" s="1674"/>
      <c r="L43" s="1674"/>
      <c r="M43" s="1674"/>
      <c r="N43" s="1677"/>
    </row>
    <row r="44" spans="1:14" s="1678" customFormat="1" ht="13.5" thickBot="1">
      <c r="A44" s="1679"/>
      <c r="B44" s="1680"/>
      <c r="C44" s="499" t="s">
        <v>295</v>
      </c>
      <c r="D44" s="2186" t="s">
        <v>172</v>
      </c>
      <c r="E44" s="2186"/>
      <c r="F44" s="2186"/>
      <c r="G44" s="2186"/>
      <c r="H44" s="2186"/>
      <c r="I44" s="2186"/>
      <c r="J44" s="2186"/>
      <c r="K44" s="2186"/>
      <c r="L44" s="2186"/>
      <c r="M44" s="2186"/>
      <c r="N44" s="338"/>
    </row>
    <row r="45" spans="1:14" ht="51">
      <c r="A45" s="219"/>
      <c r="B45" s="339" t="s">
        <v>297</v>
      </c>
      <c r="C45" s="221" t="s">
        <v>168</v>
      </c>
      <c r="D45" s="500" t="s">
        <v>298</v>
      </c>
      <c r="E45" s="501" t="s">
        <v>299</v>
      </c>
      <c r="F45" s="520" t="s">
        <v>54</v>
      </c>
      <c r="G45" s="502" t="s">
        <v>149</v>
      </c>
      <c r="H45" s="501" t="s">
        <v>59</v>
      </c>
      <c r="I45" s="501" t="s">
        <v>300</v>
      </c>
      <c r="J45" s="501" t="s">
        <v>301</v>
      </c>
      <c r="K45" s="501" t="s">
        <v>302</v>
      </c>
      <c r="L45" s="503" t="s">
        <v>303</v>
      </c>
      <c r="M45" s="222" t="s">
        <v>168</v>
      </c>
      <c r="N45" s="504" t="s">
        <v>304</v>
      </c>
    </row>
    <row r="46" spans="1:14" ht="15.75" customHeight="1">
      <c r="A46" s="2188" t="s">
        <v>120</v>
      </c>
      <c r="B46" s="2188"/>
      <c r="C46" s="512"/>
      <c r="D46" s="226"/>
      <c r="E46" s="227"/>
      <c r="F46" s="227"/>
      <c r="G46" s="227"/>
      <c r="H46" s="227"/>
      <c r="I46" s="227"/>
      <c r="J46" s="227"/>
      <c r="K46" s="227"/>
      <c r="L46" s="227"/>
      <c r="M46" s="228"/>
      <c r="N46" s="254"/>
    </row>
    <row r="47" spans="1:14">
      <c r="A47" s="304"/>
      <c r="B47" s="305" t="s">
        <v>305</v>
      </c>
      <c r="C47" s="333"/>
      <c r="D47" s="306"/>
      <c r="E47" s="307"/>
      <c r="F47" s="307"/>
      <c r="G47" s="307"/>
      <c r="H47" s="307"/>
      <c r="I47" s="307"/>
      <c r="J47" s="307"/>
      <c r="K47" s="307"/>
      <c r="L47" s="307"/>
      <c r="M47" s="308"/>
      <c r="N47" s="309"/>
    </row>
    <row r="48" spans="1:14">
      <c r="A48" s="310" t="s">
        <v>49</v>
      </c>
      <c r="B48" s="311" t="s">
        <v>320</v>
      </c>
      <c r="C48" s="312">
        <v>39258000</v>
      </c>
      <c r="D48" s="313">
        <v>6346000</v>
      </c>
      <c r="E48" s="314">
        <v>0</v>
      </c>
      <c r="F48" s="314"/>
      <c r="G48" s="314">
        <v>1000000</v>
      </c>
      <c r="H48" s="314">
        <v>75000</v>
      </c>
      <c r="I48" s="314">
        <v>100000</v>
      </c>
      <c r="J48" s="314"/>
      <c r="K48" s="314"/>
      <c r="L48" s="314">
        <v>31737000</v>
      </c>
      <c r="M48" s="315">
        <f>SUM(D48:L48)</f>
        <v>39258000</v>
      </c>
      <c r="N48" s="316"/>
    </row>
    <row r="49" spans="1:14">
      <c r="A49" s="310" t="s">
        <v>51</v>
      </c>
      <c r="B49" s="311" t="s">
        <v>322</v>
      </c>
      <c r="C49" s="312">
        <v>3331000</v>
      </c>
      <c r="D49" s="313"/>
      <c r="E49" s="314"/>
      <c r="F49" s="314"/>
      <c r="G49" s="314">
        <v>3883000</v>
      </c>
      <c r="H49" s="314"/>
      <c r="I49" s="314"/>
      <c r="J49" s="314"/>
      <c r="K49" s="314"/>
      <c r="L49" s="314">
        <v>-552000</v>
      </c>
      <c r="M49" s="315">
        <f t="shared" ref="M49:M61" si="16">SUM(D49:L49)</f>
        <v>3331000</v>
      </c>
      <c r="N49" s="316"/>
    </row>
    <row r="50" spans="1:14">
      <c r="A50" s="310" t="s">
        <v>53</v>
      </c>
      <c r="B50" s="325" t="s">
        <v>332</v>
      </c>
      <c r="C50" s="312"/>
      <c r="D50" s="327"/>
      <c r="E50" s="330"/>
      <c r="F50" s="330"/>
      <c r="G50" s="330"/>
      <c r="H50" s="330"/>
      <c r="I50" s="330"/>
      <c r="J50" s="330"/>
      <c r="K50" s="330"/>
      <c r="L50" s="314"/>
      <c r="M50" s="329"/>
      <c r="N50" s="320"/>
    </row>
    <row r="51" spans="1:14">
      <c r="A51" s="310" t="s">
        <v>55</v>
      </c>
      <c r="B51" s="317" t="s">
        <v>323</v>
      </c>
      <c r="C51" s="312">
        <v>96000</v>
      </c>
      <c r="D51" s="318"/>
      <c r="E51" s="319"/>
      <c r="F51" s="319"/>
      <c r="G51" s="319"/>
      <c r="H51" s="319"/>
      <c r="I51" s="319"/>
      <c r="J51" s="319"/>
      <c r="K51" s="319"/>
      <c r="L51" s="314">
        <v>96000</v>
      </c>
      <c r="M51" s="315">
        <f t="shared" si="16"/>
        <v>96000</v>
      </c>
      <c r="N51" s="320"/>
    </row>
    <row r="52" spans="1:14">
      <c r="A52" s="310" t="s">
        <v>58</v>
      </c>
      <c r="B52" s="321" t="s">
        <v>324</v>
      </c>
      <c r="C52" s="312">
        <v>28050000</v>
      </c>
      <c r="D52" s="313"/>
      <c r="E52" s="314"/>
      <c r="F52" s="314"/>
      <c r="G52" s="314">
        <v>11198000</v>
      </c>
      <c r="H52" s="314"/>
      <c r="I52" s="314"/>
      <c r="J52" s="314"/>
      <c r="K52" s="314"/>
      <c r="L52" s="314">
        <v>16852000</v>
      </c>
      <c r="M52" s="315">
        <f t="shared" si="16"/>
        <v>28050000</v>
      </c>
      <c r="N52" s="320"/>
    </row>
    <row r="53" spans="1:14">
      <c r="A53" s="310" t="s">
        <v>60</v>
      </c>
      <c r="B53" s="321" t="s">
        <v>325</v>
      </c>
      <c r="C53" s="312">
        <v>51000</v>
      </c>
      <c r="D53" s="313"/>
      <c r="E53" s="314"/>
      <c r="F53" s="314"/>
      <c r="G53" s="314"/>
      <c r="H53" s="314"/>
      <c r="I53" s="314"/>
      <c r="J53" s="314"/>
      <c r="K53" s="314"/>
      <c r="L53" s="314">
        <v>51000</v>
      </c>
      <c r="M53" s="315">
        <f t="shared" si="16"/>
        <v>51000</v>
      </c>
      <c r="N53" s="320"/>
    </row>
    <row r="54" spans="1:14">
      <c r="A54" s="310" t="s">
        <v>62</v>
      </c>
      <c r="B54" s="322" t="s">
        <v>326</v>
      </c>
      <c r="C54" s="312">
        <v>92210000</v>
      </c>
      <c r="D54" s="318"/>
      <c r="E54" s="323"/>
      <c r="F54" s="319"/>
      <c r="G54" s="319">
        <v>85572000</v>
      </c>
      <c r="H54" s="319">
        <v>4835000</v>
      </c>
      <c r="I54" s="319"/>
      <c r="J54" s="319"/>
      <c r="K54" s="319"/>
      <c r="L54" s="314">
        <v>1803000</v>
      </c>
      <c r="M54" s="324">
        <f t="shared" si="16"/>
        <v>92210000</v>
      </c>
      <c r="N54" s="316"/>
    </row>
    <row r="55" spans="1:14" ht="12" customHeight="1">
      <c r="A55" s="310" t="s">
        <v>65</v>
      </c>
      <c r="B55" s="325" t="s">
        <v>327</v>
      </c>
      <c r="C55" s="312">
        <v>1172700000</v>
      </c>
      <c r="D55" s="313">
        <v>186072000</v>
      </c>
      <c r="E55" s="314">
        <v>86719000</v>
      </c>
      <c r="F55" s="319">
        <v>1180911000</v>
      </c>
      <c r="G55" s="314">
        <f>50464000+149640000</f>
        <v>200104000</v>
      </c>
      <c r="H55" s="314">
        <v>2715000</v>
      </c>
      <c r="I55" s="314"/>
      <c r="J55" s="314">
        <v>8000</v>
      </c>
      <c r="K55" s="314">
        <v>3539794000</v>
      </c>
      <c r="L55" s="314">
        <v>-4023573000</v>
      </c>
      <c r="M55" s="315">
        <f t="shared" si="16"/>
        <v>1172750000</v>
      </c>
      <c r="N55" s="320"/>
    </row>
    <row r="56" spans="1:14">
      <c r="A56" s="310" t="s">
        <v>96</v>
      </c>
      <c r="B56" s="326" t="s">
        <v>2205</v>
      </c>
      <c r="C56" s="312">
        <v>314644000</v>
      </c>
      <c r="D56" s="327"/>
      <c r="E56" s="328"/>
      <c r="F56" s="328"/>
      <c r="G56" s="328"/>
      <c r="H56" s="328"/>
      <c r="I56" s="328"/>
      <c r="J56" s="328"/>
      <c r="K56" s="328"/>
      <c r="L56" s="314">
        <v>314644000</v>
      </c>
      <c r="M56" s="315">
        <f t="shared" si="16"/>
        <v>314644000</v>
      </c>
      <c r="N56" s="320"/>
    </row>
    <row r="57" spans="1:14" s="19" customFormat="1" ht="25.5">
      <c r="A57" s="1685" t="s">
        <v>98</v>
      </c>
      <c r="B57" s="326" t="s">
        <v>328</v>
      </c>
      <c r="C57" s="1709">
        <f>8508000+12478000+860000</f>
        <v>21846000</v>
      </c>
      <c r="D57" s="327"/>
      <c r="E57" s="328"/>
      <c r="F57" s="328"/>
      <c r="G57" s="328">
        <v>5253000</v>
      </c>
      <c r="H57" s="328">
        <v>80000</v>
      </c>
      <c r="I57" s="328"/>
      <c r="J57" s="328"/>
      <c r="K57" s="328"/>
      <c r="L57" s="328">
        <v>16513000</v>
      </c>
      <c r="M57" s="1686">
        <f t="shared" si="16"/>
        <v>21846000</v>
      </c>
      <c r="N57" s="1687"/>
    </row>
    <row r="58" spans="1:14">
      <c r="A58" s="310" t="s">
        <v>100</v>
      </c>
      <c r="B58" s="321" t="s">
        <v>329</v>
      </c>
      <c r="C58" s="312">
        <f>9336000+42606000+10000000</f>
        <v>61942000</v>
      </c>
      <c r="D58" s="313"/>
      <c r="E58" s="314"/>
      <c r="F58" s="314"/>
      <c r="G58" s="314">
        <v>3207000</v>
      </c>
      <c r="H58" s="314"/>
      <c r="I58" s="314"/>
      <c r="J58" s="314">
        <v>0</v>
      </c>
      <c r="K58" s="314"/>
      <c r="L58" s="314">
        <v>58735000</v>
      </c>
      <c r="M58" s="315">
        <f t="shared" si="16"/>
        <v>61942000</v>
      </c>
      <c r="N58" s="320"/>
    </row>
    <row r="59" spans="1:14">
      <c r="A59" s="310" t="s">
        <v>103</v>
      </c>
      <c r="B59" s="321" t="s">
        <v>330</v>
      </c>
      <c r="C59" s="312">
        <v>40748000</v>
      </c>
      <c r="D59" s="327"/>
      <c r="E59" s="328"/>
      <c r="F59" s="328"/>
      <c r="G59" s="328"/>
      <c r="H59" s="328"/>
      <c r="I59" s="328">
        <v>658000</v>
      </c>
      <c r="J59" s="328"/>
      <c r="K59" s="328"/>
      <c r="L59" s="314">
        <v>40090000</v>
      </c>
      <c r="M59" s="329">
        <f t="shared" si="16"/>
        <v>40748000</v>
      </c>
      <c r="N59" s="320"/>
    </row>
    <row r="60" spans="1:14" s="115" customFormat="1">
      <c r="A60" s="310" t="s">
        <v>106</v>
      </c>
      <c r="B60" s="311" t="s">
        <v>321</v>
      </c>
      <c r="C60" s="312">
        <v>33175000</v>
      </c>
      <c r="D60" s="313">
        <v>29022000</v>
      </c>
      <c r="E60" s="314"/>
      <c r="F60" s="314"/>
      <c r="G60" s="314"/>
      <c r="H60" s="314"/>
      <c r="I60" s="314"/>
      <c r="J60" s="314"/>
      <c r="K60" s="314"/>
      <c r="L60" s="314">
        <v>4153000</v>
      </c>
      <c r="M60" s="315">
        <f>SUM(D60:L60)</f>
        <v>33175000</v>
      </c>
      <c r="N60" s="316"/>
    </row>
    <row r="61" spans="1:14">
      <c r="A61" s="310" t="s">
        <v>108</v>
      </c>
      <c r="B61" s="325" t="s">
        <v>331</v>
      </c>
      <c r="C61" s="312">
        <v>93037000</v>
      </c>
      <c r="D61" s="327"/>
      <c r="E61" s="330">
        <v>74180000</v>
      </c>
      <c r="F61" s="330"/>
      <c r="G61" s="330"/>
      <c r="H61" s="330"/>
      <c r="I61" s="330"/>
      <c r="J61" s="330"/>
      <c r="K61" s="330"/>
      <c r="L61" s="314">
        <v>18857000</v>
      </c>
      <c r="M61" s="329">
        <f t="shared" si="16"/>
        <v>93037000</v>
      </c>
      <c r="N61" s="320"/>
    </row>
    <row r="62" spans="1:14">
      <c r="A62" s="310" t="s">
        <v>109</v>
      </c>
      <c r="B62" s="321" t="s">
        <v>2206</v>
      </c>
      <c r="C62" s="312">
        <v>404000</v>
      </c>
      <c r="D62" s="313"/>
      <c r="E62" s="314"/>
      <c r="F62" s="314"/>
      <c r="G62" s="314"/>
      <c r="H62" s="314"/>
      <c r="I62" s="314"/>
      <c r="J62" s="314"/>
      <c r="K62" s="314"/>
      <c r="L62" s="314">
        <v>404000</v>
      </c>
      <c r="M62" s="315">
        <f>SUM(D62:L62)</f>
        <v>404000</v>
      </c>
      <c r="N62" s="320"/>
    </row>
    <row r="63" spans="1:14">
      <c r="A63" s="331"/>
      <c r="B63" s="332" t="s">
        <v>308</v>
      </c>
      <c r="C63" s="333">
        <f>SUM(C48:C62)</f>
        <v>1901492000</v>
      </c>
      <c r="D63" s="347">
        <f>SUM(D48:D62)</f>
        <v>221440000</v>
      </c>
      <c r="E63" s="347">
        <f t="shared" ref="E63:L63" si="17">SUM(E48:E62)</f>
        <v>160899000</v>
      </c>
      <c r="F63" s="347">
        <f t="shared" si="17"/>
        <v>1180911000</v>
      </c>
      <c r="G63" s="347">
        <f t="shared" si="17"/>
        <v>310217000</v>
      </c>
      <c r="H63" s="347">
        <f>SUM(H48:H62)</f>
        <v>7705000</v>
      </c>
      <c r="I63" s="347">
        <f t="shared" si="17"/>
        <v>758000</v>
      </c>
      <c r="J63" s="347">
        <f t="shared" si="17"/>
        <v>8000</v>
      </c>
      <c r="K63" s="347">
        <f t="shared" si="17"/>
        <v>3539794000</v>
      </c>
      <c r="L63" s="347">
        <f t="shared" si="17"/>
        <v>-3520190000</v>
      </c>
      <c r="M63" s="335">
        <f>SUM(M48:M62)</f>
        <v>1901542000</v>
      </c>
      <c r="N63" s="336"/>
    </row>
    <row r="64" spans="1:14" ht="15.75" customHeight="1">
      <c r="A64" s="2190" t="s">
        <v>120</v>
      </c>
      <c r="B64" s="2190"/>
      <c r="C64" s="512"/>
      <c r="D64" s="226"/>
      <c r="E64" s="227"/>
      <c r="F64" s="227"/>
      <c r="G64" s="227"/>
      <c r="H64" s="227"/>
      <c r="I64" s="227"/>
      <c r="J64" s="227"/>
      <c r="K64" s="227"/>
      <c r="L64" s="227"/>
      <c r="M64" s="340"/>
      <c r="N64" s="254"/>
    </row>
    <row r="65" spans="1:14">
      <c r="A65" s="331"/>
      <c r="B65" s="341" t="s">
        <v>309</v>
      </c>
      <c r="C65" s="333">
        <v>0</v>
      </c>
      <c r="D65" s="342"/>
      <c r="E65" s="334"/>
      <c r="F65" s="334"/>
      <c r="G65" s="334"/>
      <c r="H65" s="334"/>
      <c r="I65" s="334"/>
      <c r="J65" s="334"/>
      <c r="K65" s="334"/>
      <c r="L65" s="307">
        <v>0</v>
      </c>
      <c r="M65" s="335">
        <v>0</v>
      </c>
      <c r="N65" s="309"/>
    </row>
    <row r="66" spans="1:14">
      <c r="A66" s="310" t="s">
        <v>49</v>
      </c>
      <c r="B66" s="343" t="s">
        <v>333</v>
      </c>
      <c r="C66" s="312">
        <v>323000</v>
      </c>
      <c r="D66" s="318"/>
      <c r="E66" s="319"/>
      <c r="F66" s="319"/>
      <c r="G66" s="319">
        <v>464000</v>
      </c>
      <c r="H66" s="319"/>
      <c r="I66" s="319"/>
      <c r="J66" s="319"/>
      <c r="K66" s="319"/>
      <c r="L66" s="490">
        <v>-141000</v>
      </c>
      <c r="M66" s="329">
        <f>SUM(G66:L66)</f>
        <v>323000</v>
      </c>
      <c r="N66" s="320"/>
    </row>
    <row r="67" spans="1:14">
      <c r="A67" s="310" t="s">
        <v>51</v>
      </c>
      <c r="B67" s="325" t="s">
        <v>2210</v>
      </c>
      <c r="C67" s="312">
        <v>3000000</v>
      </c>
      <c r="D67" s="327"/>
      <c r="E67" s="330"/>
      <c r="F67" s="330"/>
      <c r="G67" s="330"/>
      <c r="H67" s="330"/>
      <c r="I67" s="330"/>
      <c r="J67" s="330">
        <v>2745000</v>
      </c>
      <c r="K67" s="330"/>
      <c r="L67" s="314">
        <v>255000</v>
      </c>
      <c r="M67" s="329">
        <f>SUM(D67:L67)</f>
        <v>3000000</v>
      </c>
      <c r="N67" s="320"/>
    </row>
    <row r="68" spans="1:14">
      <c r="A68" s="310" t="s">
        <v>53</v>
      </c>
      <c r="B68" s="344" t="s">
        <v>2211</v>
      </c>
      <c r="C68" s="312"/>
      <c r="D68" s="313"/>
      <c r="E68" s="314"/>
      <c r="F68" s="314"/>
      <c r="G68" s="314"/>
      <c r="H68" s="314"/>
      <c r="I68" s="314"/>
      <c r="J68" s="314"/>
      <c r="K68" s="314"/>
      <c r="L68" s="314"/>
      <c r="M68" s="345">
        <f t="shared" ref="M68:M71" si="18">SUM(D68:L68)</f>
        <v>0</v>
      </c>
      <c r="N68" s="320"/>
    </row>
    <row r="69" spans="1:14">
      <c r="A69" s="310" t="s">
        <v>55</v>
      </c>
      <c r="B69" s="344" t="s">
        <v>335</v>
      </c>
      <c r="C69" s="312">
        <v>2191000</v>
      </c>
      <c r="D69" s="313"/>
      <c r="E69" s="314"/>
      <c r="F69" s="314"/>
      <c r="G69" s="314"/>
      <c r="H69" s="314"/>
      <c r="I69" s="314"/>
      <c r="J69" s="314"/>
      <c r="K69" s="314"/>
      <c r="L69" s="314">
        <v>2191000</v>
      </c>
      <c r="M69" s="345">
        <f t="shared" si="18"/>
        <v>2191000</v>
      </c>
      <c r="N69" s="320"/>
    </row>
    <row r="70" spans="1:14">
      <c r="A70" s="310" t="s">
        <v>58</v>
      </c>
      <c r="B70" s="325" t="s">
        <v>336</v>
      </c>
      <c r="C70" s="312">
        <v>4727000</v>
      </c>
      <c r="D70" s="313"/>
      <c r="E70" s="314"/>
      <c r="F70" s="314"/>
      <c r="G70" s="314"/>
      <c r="H70" s="314"/>
      <c r="I70" s="314"/>
      <c r="J70" s="314"/>
      <c r="K70" s="314"/>
      <c r="L70" s="314">
        <v>4727000</v>
      </c>
      <c r="M70" s="345">
        <f t="shared" si="18"/>
        <v>4727000</v>
      </c>
      <c r="N70" s="320"/>
    </row>
    <row r="71" spans="1:14">
      <c r="A71" s="310" t="s">
        <v>60</v>
      </c>
      <c r="B71" s="325" t="s">
        <v>337</v>
      </c>
      <c r="C71" s="312">
        <v>6631000</v>
      </c>
      <c r="D71" s="313"/>
      <c r="E71" s="314"/>
      <c r="F71" s="314"/>
      <c r="G71" s="314"/>
      <c r="H71" s="314"/>
      <c r="I71" s="314"/>
      <c r="J71" s="314"/>
      <c r="K71" s="314"/>
      <c r="L71" s="314">
        <v>6631000</v>
      </c>
      <c r="M71" s="345">
        <f t="shared" si="18"/>
        <v>6631000</v>
      </c>
      <c r="N71" s="320"/>
    </row>
    <row r="72" spans="1:14">
      <c r="A72" s="331"/>
      <c r="B72" s="346" t="s">
        <v>311</v>
      </c>
      <c r="C72" s="333">
        <f t="shared" ref="C72:M72" si="19">SUM(C66:C71)</f>
        <v>16872000</v>
      </c>
      <c r="D72" s="347">
        <f t="shared" si="19"/>
        <v>0</v>
      </c>
      <c r="E72" s="307">
        <f t="shared" si="19"/>
        <v>0</v>
      </c>
      <c r="F72" s="307">
        <f t="shared" si="19"/>
        <v>0</v>
      </c>
      <c r="G72" s="307">
        <f t="shared" si="19"/>
        <v>464000</v>
      </c>
      <c r="H72" s="307">
        <f t="shared" si="19"/>
        <v>0</v>
      </c>
      <c r="I72" s="307">
        <f t="shared" si="19"/>
        <v>0</v>
      </c>
      <c r="J72" s="307">
        <f t="shared" si="19"/>
        <v>2745000</v>
      </c>
      <c r="K72" s="307">
        <f t="shared" si="19"/>
        <v>0</v>
      </c>
      <c r="L72" s="307">
        <f t="shared" si="19"/>
        <v>13663000</v>
      </c>
      <c r="M72" s="307">
        <f t="shared" si="19"/>
        <v>16872000</v>
      </c>
      <c r="N72" s="348"/>
    </row>
    <row r="73" spans="1:14">
      <c r="A73" s="349" t="s">
        <v>338</v>
      </c>
      <c r="B73" s="350" t="s">
        <v>168</v>
      </c>
      <c r="C73" s="351">
        <f t="shared" ref="C73:M73" si="20">C63+C72</f>
        <v>1918364000</v>
      </c>
      <c r="D73" s="352">
        <f t="shared" si="20"/>
        <v>221440000</v>
      </c>
      <c r="E73" s="353">
        <f t="shared" si="20"/>
        <v>160899000</v>
      </c>
      <c r="F73" s="353">
        <f t="shared" si="20"/>
        <v>1180911000</v>
      </c>
      <c r="G73" s="353">
        <f t="shared" si="20"/>
        <v>310681000</v>
      </c>
      <c r="H73" s="353">
        <f t="shared" si="20"/>
        <v>7705000</v>
      </c>
      <c r="I73" s="353">
        <f t="shared" si="20"/>
        <v>758000</v>
      </c>
      <c r="J73" s="353">
        <f t="shared" si="20"/>
        <v>2753000</v>
      </c>
      <c r="K73" s="353">
        <f t="shared" si="20"/>
        <v>3539794000</v>
      </c>
      <c r="L73" s="354">
        <f t="shared" si="20"/>
        <v>-3506527000</v>
      </c>
      <c r="M73" s="353">
        <f t="shared" si="20"/>
        <v>1918414000</v>
      </c>
      <c r="N73" s="355"/>
    </row>
    <row r="74" spans="1:14">
      <c r="A74" s="521"/>
      <c r="B74" s="522" t="s">
        <v>308</v>
      </c>
      <c r="C74" s="523">
        <f>C9+C17+C25+C42+C63</f>
        <v>2911081701.2799997</v>
      </c>
      <c r="D74" s="524">
        <f>D9+D17+D25+D42+D63</f>
        <v>778227000</v>
      </c>
      <c r="E74" s="525">
        <f>E8+E17+E25+E42+E63</f>
        <v>161463000</v>
      </c>
      <c r="F74" s="525">
        <f>F8+F17+F25+F341+F63</f>
        <v>1180911000</v>
      </c>
      <c r="G74" s="525">
        <f>G9+G17+G25+G42+G63</f>
        <v>413453000</v>
      </c>
      <c r="H74" s="525">
        <f>H8+H17+H25+H42+H63</f>
        <v>7730000</v>
      </c>
      <c r="I74" s="525">
        <f>I8+I17+I25+I42+I63</f>
        <v>969000</v>
      </c>
      <c r="J74" s="525">
        <f>J8+J17+J25+J42+J63</f>
        <v>8000</v>
      </c>
      <c r="K74" s="525">
        <f>K9+K17+K25+K42+K63</f>
        <v>3547591000</v>
      </c>
      <c r="L74" s="525">
        <f>L9+L17+L25+L42+L63</f>
        <v>-3165551000</v>
      </c>
      <c r="M74" s="525">
        <f>M9+M17+M25+M42+M63</f>
        <v>2924851000</v>
      </c>
      <c r="N74" s="526"/>
    </row>
    <row r="75" spans="1:14">
      <c r="A75" s="527"/>
      <c r="B75" s="528" t="s">
        <v>311</v>
      </c>
      <c r="C75" s="523">
        <f>C12+C20+C33+C72</f>
        <v>178798000</v>
      </c>
      <c r="D75" s="524">
        <f t="shared" ref="D75:J75" si="21">D20+D33+D72+D12</f>
        <v>86403000</v>
      </c>
      <c r="E75" s="524">
        <f t="shared" si="21"/>
        <v>277000</v>
      </c>
      <c r="F75" s="524">
        <f t="shared" si="21"/>
        <v>0</v>
      </c>
      <c r="G75" s="524">
        <f t="shared" si="21"/>
        <v>18721000</v>
      </c>
      <c r="H75" s="524">
        <f t="shared" si="21"/>
        <v>0</v>
      </c>
      <c r="I75" s="524">
        <f t="shared" si="21"/>
        <v>0</v>
      </c>
      <c r="J75" s="524">
        <f t="shared" si="21"/>
        <v>2745000</v>
      </c>
      <c r="K75" s="525">
        <f>K20+K33+K72</f>
        <v>0</v>
      </c>
      <c r="L75" s="525">
        <f>L12+L20+L33+L72</f>
        <v>62979000</v>
      </c>
      <c r="M75" s="525">
        <f>M20+M33+M72</f>
        <v>167824000</v>
      </c>
      <c r="N75" s="526"/>
    </row>
    <row r="76" spans="1:14">
      <c r="A76" s="527"/>
      <c r="B76" s="529" t="s">
        <v>339</v>
      </c>
      <c r="C76" s="523">
        <f>SUM(C74:C75)</f>
        <v>3089879701.2799997</v>
      </c>
      <c r="D76" s="524">
        <f>SUM(D74:D75)</f>
        <v>864630000</v>
      </c>
      <c r="E76" s="525">
        <f t="shared" ref="E76:L76" si="22">SUM(E74:E75)</f>
        <v>161740000</v>
      </c>
      <c r="F76" s="525">
        <f t="shared" si="22"/>
        <v>1180911000</v>
      </c>
      <c r="G76" s="525">
        <f>SUM(G74:G75)</f>
        <v>432174000</v>
      </c>
      <c r="H76" s="525">
        <f t="shared" si="22"/>
        <v>7730000</v>
      </c>
      <c r="I76" s="525">
        <f t="shared" si="22"/>
        <v>969000</v>
      </c>
      <c r="J76" s="525">
        <f t="shared" si="22"/>
        <v>2753000</v>
      </c>
      <c r="K76" s="525">
        <f>SUM(K74:K75)+2000</f>
        <v>3547593000</v>
      </c>
      <c r="L76" s="525">
        <f t="shared" si="22"/>
        <v>-3102572000</v>
      </c>
      <c r="M76" s="525">
        <f>SUM(M74:M75)</f>
        <v>3092675000</v>
      </c>
      <c r="N76" s="526"/>
    </row>
    <row r="78" spans="1:14">
      <c r="K78" s="1684"/>
      <c r="L78" s="1688"/>
    </row>
  </sheetData>
  <mergeCells count="10">
    <mergeCell ref="A22:B22"/>
    <mergeCell ref="A35:B35"/>
    <mergeCell ref="A46:B46"/>
    <mergeCell ref="A64:B64"/>
    <mergeCell ref="D44:M44"/>
    <mergeCell ref="A1:N1"/>
    <mergeCell ref="A2:N2"/>
    <mergeCell ref="D3:M3"/>
    <mergeCell ref="A5:B5"/>
    <mergeCell ref="A14:B14"/>
  </mergeCells>
  <phoneticPr fontId="74" type="noConversion"/>
  <printOptions headings="1"/>
  <pageMargins left="0.31496062992125984" right="0.31496062992125984" top="0.55118110236220474" bottom="0.55118110236220474" header="0.11811023622047245" footer="0.51181102362204722"/>
  <pageSetup paperSize="9" scale="64" firstPageNumber="0" fitToHeight="0" orientation="landscape" r:id="rId1"/>
  <headerFooter>
    <oddHeader>&amp;R&amp;A melléklet a /2026.(V.28.) önkormányzati rendelethez/ &amp;P.oldal</oddHeader>
  </headerFooter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O12"/>
  <sheetViews>
    <sheetView zoomScaleNormal="100" workbookViewId="0">
      <selection activeCell="A2" sqref="A2:G2"/>
    </sheetView>
  </sheetViews>
  <sheetFormatPr defaultRowHeight="15"/>
  <cols>
    <col min="1" max="1" width="6" style="448" customWidth="1"/>
    <col min="2" max="2" width="50.28515625" style="447" customWidth="1"/>
    <col min="3" max="3" width="17.5703125" style="447" customWidth="1"/>
    <col min="4" max="4" width="17" style="447" customWidth="1"/>
    <col min="5" max="5" width="16.28515625" style="447" customWidth="1"/>
    <col min="6" max="6" width="18.85546875" style="447" customWidth="1"/>
    <col min="7" max="7" width="17.140625" style="447" customWidth="1"/>
    <col min="8" max="16384" width="9.140625" style="447"/>
  </cols>
  <sheetData>
    <row r="2" spans="1:15" s="462" customFormat="1" ht="36.75" customHeight="1">
      <c r="A2" s="2191" t="s">
        <v>2244</v>
      </c>
      <c r="B2" s="2191"/>
      <c r="C2" s="2191"/>
      <c r="D2" s="2191"/>
      <c r="E2" s="2191"/>
      <c r="F2" s="2191"/>
      <c r="G2" s="2191"/>
      <c r="H2" s="463"/>
      <c r="I2" s="463"/>
      <c r="J2" s="463"/>
      <c r="K2" s="463"/>
      <c r="L2" s="463"/>
      <c r="M2" s="463"/>
      <c r="N2" s="463"/>
      <c r="O2" s="463"/>
    </row>
    <row r="3" spans="1:15" ht="15.75" thickBot="1"/>
    <row r="4" spans="1:15" s="449" customFormat="1" ht="45.75" thickBot="1">
      <c r="A4" s="461" t="s">
        <v>340</v>
      </c>
      <c r="B4" s="460" t="s">
        <v>341</v>
      </c>
      <c r="C4" s="460" t="s">
        <v>342</v>
      </c>
      <c r="D4" s="460" t="s">
        <v>1755</v>
      </c>
      <c r="E4" s="460" t="s">
        <v>343</v>
      </c>
      <c r="F4" s="460" t="s">
        <v>344</v>
      </c>
      <c r="G4" s="459" t="s">
        <v>2173</v>
      </c>
    </row>
    <row r="5" spans="1:15" s="449" customFormat="1" ht="29.25" customHeight="1">
      <c r="A5" s="458" t="s">
        <v>176</v>
      </c>
      <c r="B5" s="464" t="s">
        <v>120</v>
      </c>
      <c r="C5" s="457"/>
      <c r="D5" s="457"/>
      <c r="E5" s="457"/>
      <c r="F5" s="457"/>
      <c r="G5" s="456"/>
    </row>
    <row r="6" spans="1:15" ht="34.5" customHeight="1">
      <c r="A6" s="1333" t="s">
        <v>49</v>
      </c>
      <c r="B6" s="454" t="s">
        <v>1639</v>
      </c>
      <c r="C6" s="455">
        <v>250000000</v>
      </c>
      <c r="D6" s="451">
        <v>0</v>
      </c>
      <c r="E6" s="451"/>
      <c r="F6" s="451">
        <f t="shared" ref="F6:F7" si="0">C6</f>
        <v>250000000</v>
      </c>
      <c r="G6" s="1334">
        <v>116998075</v>
      </c>
    </row>
    <row r="7" spans="1:15" ht="46.5" customHeight="1">
      <c r="A7" s="453" t="s">
        <v>51</v>
      </c>
      <c r="B7" s="454" t="s">
        <v>1640</v>
      </c>
      <c r="C7" s="455">
        <v>500000000</v>
      </c>
      <c r="D7" s="451">
        <v>0</v>
      </c>
      <c r="E7" s="451"/>
      <c r="F7" s="451">
        <f t="shared" si="0"/>
        <v>500000000</v>
      </c>
      <c r="G7" s="1335">
        <v>167716658</v>
      </c>
    </row>
    <row r="8" spans="1:15" ht="47.25" customHeight="1">
      <c r="A8" s="1333" t="s">
        <v>53</v>
      </c>
      <c r="B8" s="454" t="s">
        <v>1641</v>
      </c>
      <c r="C8" s="452">
        <v>100000000</v>
      </c>
      <c r="D8" s="451">
        <v>0</v>
      </c>
      <c r="E8" s="451">
        <v>128918627</v>
      </c>
      <c r="F8" s="451">
        <v>100000000</v>
      </c>
      <c r="G8" s="1334">
        <v>86355275</v>
      </c>
    </row>
    <row r="9" spans="1:15" ht="47.25" customHeight="1">
      <c r="A9" s="1333" t="s">
        <v>55</v>
      </c>
      <c r="B9" s="454" t="s">
        <v>1642</v>
      </c>
      <c r="C9" s="452">
        <v>363014781</v>
      </c>
      <c r="D9" s="451">
        <v>0</v>
      </c>
      <c r="E9" s="451">
        <v>0</v>
      </c>
      <c r="F9" s="451">
        <v>363014781</v>
      </c>
      <c r="G9" s="1334">
        <v>6099800</v>
      </c>
    </row>
    <row r="10" spans="1:15" ht="47.25" customHeight="1">
      <c r="A10" s="1333" t="s">
        <v>58</v>
      </c>
      <c r="B10" s="454" t="s">
        <v>1643</v>
      </c>
      <c r="C10" s="452">
        <v>68888135</v>
      </c>
      <c r="D10" s="451">
        <v>0</v>
      </c>
      <c r="E10" s="451">
        <v>50000000</v>
      </c>
      <c r="F10" s="451">
        <v>68888135</v>
      </c>
      <c r="G10" s="1334">
        <v>31250483</v>
      </c>
    </row>
    <row r="11" spans="1:15" ht="47.25" customHeight="1" thickBot="1">
      <c r="A11" s="1333" t="s">
        <v>60</v>
      </c>
      <c r="B11" s="454" t="s">
        <v>1644</v>
      </c>
      <c r="C11" s="452"/>
      <c r="D11" s="451"/>
      <c r="E11" s="451"/>
      <c r="F11" s="451"/>
      <c r="G11" s="1334">
        <v>0</v>
      </c>
    </row>
    <row r="12" spans="1:15" s="449" customFormat="1" ht="30" customHeight="1" thickBot="1">
      <c r="A12" s="450"/>
      <c r="B12" s="1479" t="s">
        <v>168</v>
      </c>
      <c r="C12" s="1480">
        <f>SUM(C6:C11)</f>
        <v>1281902916</v>
      </c>
      <c r="D12" s="1480">
        <f>SUM(D6:D11)</f>
        <v>0</v>
      </c>
      <c r="E12" s="1480">
        <f>SUM(E6:E11)</f>
        <v>178918627</v>
      </c>
      <c r="F12" s="1480">
        <f>SUM(F6:F11)</f>
        <v>1281902916</v>
      </c>
      <c r="G12" s="1481">
        <f>SUM(G6:G11)</f>
        <v>408420291</v>
      </c>
    </row>
  </sheetData>
  <mergeCells count="1">
    <mergeCell ref="A2:G2"/>
  </mergeCells>
  <printOptions headings="1"/>
  <pageMargins left="0.70866141732283472" right="0.70866141732283472" top="0.74803149606299213" bottom="0.74803149606299213" header="0.31496062992125984" footer="0.31496062992125984"/>
  <pageSetup paperSize="9" scale="89" orientation="landscape" r:id="rId1"/>
  <headerFooter>
    <oddHeader>&amp;R&amp;A melléklet a /2026.(V.28.) önkormányzati rendelethez/ &amp;P.oldal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9"/>
  <sheetViews>
    <sheetView zoomScaleNormal="100" workbookViewId="0">
      <selection activeCell="G5" sqref="G5"/>
    </sheetView>
  </sheetViews>
  <sheetFormatPr defaultRowHeight="15.75"/>
  <cols>
    <col min="1" max="1" width="11.28515625" style="21"/>
    <col min="2" max="2" width="4.28515625" style="21"/>
    <col min="3" max="3" width="38" style="21"/>
    <col min="4" max="4" width="7.42578125" style="21"/>
    <col min="5" max="5" width="19.140625" style="21"/>
    <col min="6" max="1025" width="8.7109375"/>
  </cols>
  <sheetData>
    <row r="1" spans="1:5">
      <c r="A1"/>
      <c r="B1"/>
      <c r="C1"/>
      <c r="D1"/>
      <c r="E1" s="356"/>
    </row>
    <row r="2" spans="1:5" ht="12.75">
      <c r="A2"/>
      <c r="B2"/>
      <c r="C2"/>
      <c r="D2"/>
      <c r="E2"/>
    </row>
    <row r="3" spans="1:5" ht="18.75">
      <c r="A3" s="2134" t="s">
        <v>169</v>
      </c>
      <c r="B3" s="2134"/>
      <c r="C3" s="2134"/>
      <c r="D3" s="2134"/>
      <c r="E3" s="2134"/>
    </row>
    <row r="4" spans="1:5" ht="12.75">
      <c r="A4"/>
      <c r="B4"/>
      <c r="C4"/>
      <c r="D4"/>
      <c r="E4"/>
    </row>
    <row r="5" spans="1:5" ht="18.75">
      <c r="A5" s="2196" t="s">
        <v>2174</v>
      </c>
      <c r="B5" s="2196"/>
      <c r="C5" s="2196"/>
      <c r="D5" s="2196"/>
      <c r="E5" s="2196"/>
    </row>
    <row r="6" spans="1:5" ht="12.75">
      <c r="A6"/>
      <c r="B6"/>
      <c r="C6"/>
      <c r="D6"/>
      <c r="E6"/>
    </row>
    <row r="9" spans="1:5">
      <c r="A9" s="357" t="s">
        <v>2217</v>
      </c>
      <c r="B9" s="115"/>
      <c r="C9" s="115"/>
      <c r="D9" s="115"/>
      <c r="E9" s="115"/>
    </row>
    <row r="10" spans="1:5">
      <c r="A10" s="85"/>
      <c r="B10" s="115"/>
      <c r="C10" s="115"/>
      <c r="D10" s="115"/>
      <c r="E10" s="115"/>
    </row>
    <row r="11" spans="1:5">
      <c r="A11" s="85" t="s">
        <v>345</v>
      </c>
      <c r="B11" s="115"/>
      <c r="C11" s="115"/>
      <c r="D11" s="115"/>
      <c r="E11" s="115"/>
    </row>
    <row r="12" spans="1:5">
      <c r="A12" s="115"/>
      <c r="B12" s="2197" t="s">
        <v>346</v>
      </c>
      <c r="C12" s="2197"/>
      <c r="D12" s="115"/>
      <c r="E12" s="115"/>
    </row>
    <row r="13" spans="1:5">
      <c r="A13" s="115"/>
      <c r="B13" s="115"/>
      <c r="C13" s="358" t="s">
        <v>347</v>
      </c>
      <c r="D13" s="22"/>
      <c r="E13" s="359"/>
    </row>
    <row r="14" spans="1:5">
      <c r="A14" s="115"/>
      <c r="B14" s="115"/>
      <c r="C14" s="358" t="s">
        <v>348</v>
      </c>
      <c r="D14" s="22"/>
      <c r="E14" s="360"/>
    </row>
    <row r="15" spans="1:5">
      <c r="A15" s="115"/>
      <c r="B15" s="115"/>
      <c r="C15" s="358" t="s">
        <v>349</v>
      </c>
      <c r="D15" s="22"/>
      <c r="E15" s="361"/>
    </row>
    <row r="16" spans="1:5">
      <c r="A16" s="115"/>
      <c r="B16" s="115"/>
      <c r="C16" s="16" t="s">
        <v>168</v>
      </c>
      <c r="D16" s="362"/>
      <c r="E16" s="365">
        <f>SUM(E13:E15)</f>
        <v>0</v>
      </c>
    </row>
    <row r="17" spans="1:5" ht="12.75">
      <c r="A17"/>
      <c r="B17" s="115"/>
      <c r="C17" s="115"/>
      <c r="D17" s="362"/>
      <c r="E17" s="363"/>
    </row>
    <row r="18" spans="1:5">
      <c r="A18" s="85" t="s">
        <v>350</v>
      </c>
      <c r="B18" s="115"/>
      <c r="C18" s="115"/>
      <c r="D18" s="362"/>
      <c r="E18" s="363"/>
    </row>
    <row r="19" spans="1:5">
      <c r="A19" s="115"/>
      <c r="B19" s="2173" t="s">
        <v>351</v>
      </c>
      <c r="C19" s="2173"/>
      <c r="D19" s="22"/>
      <c r="E19" s="359"/>
    </row>
    <row r="20" spans="1:5">
      <c r="A20" s="115"/>
      <c r="B20" s="2197" t="s">
        <v>352</v>
      </c>
      <c r="C20" s="2197"/>
      <c r="D20" s="22"/>
      <c r="E20" s="359"/>
    </row>
    <row r="21" spans="1:5">
      <c r="A21" s="115"/>
      <c r="B21" s="2194" t="s">
        <v>353</v>
      </c>
      <c r="C21" s="2194"/>
      <c r="D21" s="22"/>
      <c r="E21" s="360"/>
    </row>
    <row r="22" spans="1:5">
      <c r="A22" s="115"/>
      <c r="B22" s="482" t="s">
        <v>58</v>
      </c>
      <c r="C22" s="482" t="s">
        <v>1504</v>
      </c>
      <c r="D22" s="22"/>
      <c r="E22" s="360"/>
    </row>
    <row r="23" spans="1:5">
      <c r="A23" s="115"/>
      <c r="B23"/>
      <c r="C23" s="1" t="s">
        <v>168</v>
      </c>
      <c r="D23" s="22"/>
      <c r="E23" s="483">
        <f>SUM(E19:E22)</f>
        <v>0</v>
      </c>
    </row>
    <row r="24" spans="1:5">
      <c r="A24"/>
      <c r="B24"/>
      <c r="C24"/>
      <c r="D24"/>
      <c r="E24" s="359"/>
    </row>
    <row r="25" spans="1:5">
      <c r="A25" s="112" t="s">
        <v>354</v>
      </c>
      <c r="B25" s="112"/>
      <c r="C25" s="112"/>
      <c r="D25" s="112"/>
      <c r="E25" s="364">
        <f>SUM(E16,E23)</f>
        <v>0</v>
      </c>
    </row>
    <row r="26" spans="1:5">
      <c r="A26"/>
      <c r="B26"/>
      <c r="C26"/>
      <c r="D26"/>
      <c r="E26" s="359"/>
    </row>
    <row r="27" spans="1:5">
      <c r="A27"/>
      <c r="B27"/>
      <c r="C27"/>
      <c r="D27"/>
      <c r="E27" s="359"/>
    </row>
    <row r="28" spans="1:5" ht="39.75" customHeight="1">
      <c r="A28" s="2198" t="s">
        <v>2218</v>
      </c>
      <c r="B28" s="2198"/>
      <c r="C28" s="2198"/>
      <c r="D28" s="2198"/>
      <c r="E28" s="2198"/>
    </row>
    <row r="29" spans="1:5" s="543" customFormat="1" ht="19.5" customHeight="1">
      <c r="A29" s="1340"/>
      <c r="B29" s="1341" t="s">
        <v>355</v>
      </c>
      <c r="E29" s="1342">
        <v>240000</v>
      </c>
    </row>
    <row r="30" spans="1:5" s="543" customFormat="1" ht="33" customHeight="1">
      <c r="B30" s="2195" t="s">
        <v>356</v>
      </c>
      <c r="C30" s="2195"/>
      <c r="D30" s="1343"/>
      <c r="E30" s="1342">
        <v>240000</v>
      </c>
    </row>
    <row r="31" spans="1:5" ht="12.75">
      <c r="A31"/>
      <c r="B31"/>
      <c r="C31"/>
      <c r="D31"/>
      <c r="E31" s="366"/>
    </row>
    <row r="33" spans="1:5" ht="36.75" customHeight="1">
      <c r="A33" s="2192" t="s">
        <v>2219</v>
      </c>
      <c r="B33" s="2192"/>
      <c r="C33" s="2192"/>
      <c r="D33" s="2192"/>
      <c r="E33" s="2192"/>
    </row>
    <row r="35" spans="1:5">
      <c r="E35" s="1344">
        <v>0</v>
      </c>
    </row>
    <row r="37" spans="1:5" s="1345" customFormat="1" ht="36.75" customHeight="1">
      <c r="A37" s="2193" t="s">
        <v>2220</v>
      </c>
      <c r="B37" s="2193"/>
      <c r="C37" s="2193"/>
      <c r="D37" s="2193"/>
      <c r="E37" s="2193"/>
    </row>
    <row r="39" spans="1:5">
      <c r="B39" s="21" t="s">
        <v>49</v>
      </c>
      <c r="C39" s="21" t="s">
        <v>1645</v>
      </c>
    </row>
    <row r="40" spans="1:5">
      <c r="C40" s="21" t="s">
        <v>1646</v>
      </c>
      <c r="E40" s="532">
        <v>0</v>
      </c>
    </row>
    <row r="41" spans="1:5">
      <c r="B41" s="21" t="s">
        <v>51</v>
      </c>
      <c r="C41" s="21" t="s">
        <v>1647</v>
      </c>
      <c r="E41" s="532"/>
    </row>
    <row r="42" spans="1:5">
      <c r="C42" s="21" t="s">
        <v>1646</v>
      </c>
      <c r="E42" s="534">
        <v>0</v>
      </c>
    </row>
    <row r="43" spans="1:5">
      <c r="E43" s="532"/>
    </row>
    <row r="44" spans="1:5">
      <c r="A44" s="3" t="s">
        <v>2221</v>
      </c>
      <c r="E44" s="532"/>
    </row>
    <row r="45" spans="1:5">
      <c r="E45" s="532"/>
    </row>
    <row r="46" spans="1:5">
      <c r="E46" s="532">
        <v>0</v>
      </c>
    </row>
    <row r="47" spans="1:5" ht="16.5" thickBot="1">
      <c r="A47" s="533"/>
      <c r="B47" s="533"/>
      <c r="C47" s="533"/>
      <c r="D47" s="533"/>
      <c r="E47" s="533"/>
    </row>
    <row r="48" spans="1:5" ht="17.25" thickTop="1" thickBot="1">
      <c r="A48" s="1482"/>
      <c r="B48" s="1482"/>
      <c r="C48" s="1483" t="s">
        <v>357</v>
      </c>
      <c r="D48" s="1482"/>
      <c r="E48" s="1484">
        <f>E42+E40+E30+E29</f>
        <v>480000</v>
      </c>
    </row>
    <row r="49" ht="16.5" thickTop="1"/>
  </sheetData>
  <mergeCells count="10">
    <mergeCell ref="A33:E33"/>
    <mergeCell ref="A37:E37"/>
    <mergeCell ref="B21:C21"/>
    <mergeCell ref="B30:C30"/>
    <mergeCell ref="A3:E3"/>
    <mergeCell ref="A5:E5"/>
    <mergeCell ref="B12:C12"/>
    <mergeCell ref="B19:C19"/>
    <mergeCell ref="B20:C20"/>
    <mergeCell ref="A28:E28"/>
  </mergeCells>
  <printOptions headings="1"/>
  <pageMargins left="0.70866141732283472" right="0.70866141732283472" top="0.74803149606299213" bottom="0.74803149606299213" header="0.11811023622047245" footer="0.51181102362204722"/>
  <pageSetup paperSize="9" scale="89" firstPageNumber="0" orientation="portrait" r:id="rId1"/>
  <headerFooter>
    <oddHeader>&amp;R&amp;A melléklet a /2026.(V.28.) önkormányzati rendelethez/ &amp;P.oldal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58"/>
  <sheetViews>
    <sheetView zoomScale="95" zoomScaleNormal="95" workbookViewId="0">
      <selection activeCell="E13" sqref="E13"/>
    </sheetView>
  </sheetViews>
  <sheetFormatPr defaultRowHeight="15.75"/>
  <cols>
    <col min="1" max="1" width="5.140625" style="60"/>
    <col min="2" max="2" width="5.42578125" style="161"/>
    <col min="3" max="3" width="67.42578125" style="133"/>
    <col min="4" max="4" width="18.140625" style="1284"/>
    <col min="5" max="5" width="16.28515625" style="1288"/>
    <col min="6" max="6" width="19.140625" style="1292"/>
    <col min="7" max="7" width="15.85546875" style="1296"/>
    <col min="8" max="8" width="18.140625" style="1300"/>
    <col min="9" max="9" width="18.28515625" style="1304" customWidth="1"/>
    <col min="10" max="1025" width="8.7109375"/>
  </cols>
  <sheetData>
    <row r="1" spans="1:10" ht="12.75">
      <c r="A1"/>
      <c r="B1"/>
      <c r="C1"/>
      <c r="D1" s="543"/>
      <c r="E1" s="543"/>
      <c r="F1" s="543"/>
      <c r="G1" s="543"/>
      <c r="H1" s="543"/>
      <c r="I1" s="543"/>
    </row>
    <row r="2" spans="1:10">
      <c r="A2"/>
      <c r="B2"/>
      <c r="C2"/>
      <c r="D2" s="543"/>
      <c r="E2" s="543"/>
      <c r="F2" s="543"/>
      <c r="G2" s="1868"/>
      <c r="H2" s="1868"/>
      <c r="I2" s="543"/>
    </row>
    <row r="3" spans="1:10" ht="20.25">
      <c r="A3" s="2199" t="s">
        <v>2159</v>
      </c>
      <c r="B3" s="2199"/>
      <c r="C3" s="2199"/>
      <c r="D3" s="2199"/>
      <c r="E3" s="2199"/>
      <c r="F3" s="2199"/>
      <c r="G3" s="2199"/>
      <c r="H3" s="2199"/>
      <c r="I3" s="2199"/>
    </row>
    <row r="4" spans="1:10" ht="12.75">
      <c r="A4"/>
      <c r="B4"/>
      <c r="C4"/>
      <c r="D4" s="543"/>
      <c r="E4" s="543"/>
      <c r="F4" s="543"/>
      <c r="G4" s="543"/>
      <c r="H4" s="543"/>
      <c r="I4" s="543"/>
    </row>
    <row r="5" spans="1:10" ht="12.75">
      <c r="A5"/>
      <c r="B5"/>
      <c r="C5"/>
      <c r="D5" s="543"/>
      <c r="E5" s="543"/>
      <c r="F5" s="543"/>
      <c r="G5" s="543"/>
      <c r="H5" s="543"/>
      <c r="I5" s="543"/>
    </row>
    <row r="6" spans="1:10">
      <c r="A6"/>
      <c r="B6"/>
      <c r="C6"/>
      <c r="D6" s="1869"/>
      <c r="E6" s="543"/>
      <c r="F6" s="543"/>
      <c r="G6" s="543"/>
      <c r="H6" s="543"/>
      <c r="I6" s="1870" t="s">
        <v>38</v>
      </c>
    </row>
    <row r="7" spans="1:10" ht="47.25">
      <c r="A7" s="367"/>
      <c r="B7" s="368"/>
      <c r="C7" s="368" t="s">
        <v>358</v>
      </c>
      <c r="D7" s="1281" t="s">
        <v>40</v>
      </c>
      <c r="E7" s="1285" t="s">
        <v>41</v>
      </c>
      <c r="F7" s="1289" t="s">
        <v>88</v>
      </c>
      <c r="G7" s="1293" t="s">
        <v>43</v>
      </c>
      <c r="H7" s="1297" t="s">
        <v>44</v>
      </c>
      <c r="I7" s="1301" t="s">
        <v>45</v>
      </c>
    </row>
    <row r="8" spans="1:10">
      <c r="A8" s="123"/>
      <c r="B8" s="369"/>
      <c r="C8" s="369"/>
      <c r="D8" s="1282"/>
      <c r="E8" s="1286"/>
      <c r="F8" s="1290"/>
      <c r="G8" s="1294"/>
      <c r="H8" s="1298"/>
      <c r="I8" s="1302">
        <f t="shared" ref="I8:I27" si="0">SUM(D8:H8)</f>
        <v>0</v>
      </c>
    </row>
    <row r="9" spans="1:10" s="115" customFormat="1" ht="20.100000000000001" customHeight="1">
      <c r="A9" s="370" t="s">
        <v>359</v>
      </c>
      <c r="B9" s="370" t="s">
        <v>359</v>
      </c>
      <c r="C9" s="371" t="s">
        <v>360</v>
      </c>
      <c r="D9" s="1283">
        <v>94516234</v>
      </c>
      <c r="E9" s="1287">
        <v>14752772</v>
      </c>
      <c r="F9" s="1291">
        <v>49851184</v>
      </c>
      <c r="G9" s="1295">
        <v>2041990</v>
      </c>
      <c r="H9" s="1299">
        <v>2489744827</v>
      </c>
      <c r="I9" s="1303">
        <f t="shared" si="0"/>
        <v>2650907007</v>
      </c>
    </row>
    <row r="10" spans="1:10" s="115" customFormat="1" ht="20.100000000000001" customHeight="1">
      <c r="A10" s="370" t="s">
        <v>361</v>
      </c>
      <c r="B10" s="370" t="s">
        <v>361</v>
      </c>
      <c r="C10" s="371" t="s">
        <v>362</v>
      </c>
      <c r="D10" s="1283">
        <v>388872507</v>
      </c>
      <c r="E10" s="1287">
        <v>369536279</v>
      </c>
      <c r="F10" s="1291">
        <v>192240409</v>
      </c>
      <c r="G10" s="1295">
        <v>220867124</v>
      </c>
      <c r="H10" s="1299">
        <v>1625363514</v>
      </c>
      <c r="I10" s="1303">
        <f t="shared" si="0"/>
        <v>2796879833</v>
      </c>
    </row>
    <row r="11" spans="1:10" s="1305" customFormat="1" ht="20.100000000000001" customHeight="1">
      <c r="A11" s="1306" t="s">
        <v>363</v>
      </c>
      <c r="B11" s="1306" t="s">
        <v>176</v>
      </c>
      <c r="C11" s="1307" t="s">
        <v>364</v>
      </c>
      <c r="D11" s="1308">
        <f>D9-D10</f>
        <v>-294356273</v>
      </c>
      <c r="E11" s="1309">
        <f>E9-E10</f>
        <v>-354783507</v>
      </c>
      <c r="F11" s="1310">
        <f>F9-F10</f>
        <v>-142389225</v>
      </c>
      <c r="G11" s="1311">
        <f>G9-G10</f>
        <v>-218825134</v>
      </c>
      <c r="H11" s="1312">
        <f>H9-H10</f>
        <v>864381313</v>
      </c>
      <c r="I11" s="1313">
        <f t="shared" si="0"/>
        <v>-145972826</v>
      </c>
    </row>
    <row r="12" spans="1:10" s="115" customFormat="1" ht="20.100000000000001" customHeight="1">
      <c r="A12" s="370" t="s">
        <v>365</v>
      </c>
      <c r="B12" s="370" t="s">
        <v>363</v>
      </c>
      <c r="C12" s="371" t="s">
        <v>366</v>
      </c>
      <c r="D12" s="1283">
        <v>297672995</v>
      </c>
      <c r="E12" s="1287">
        <v>356125408</v>
      </c>
      <c r="F12" s="1291">
        <v>143934977</v>
      </c>
      <c r="G12" s="1295">
        <v>218828476</v>
      </c>
      <c r="H12" s="1299">
        <v>35789795886</v>
      </c>
      <c r="I12" s="1303">
        <f t="shared" si="0"/>
        <v>36806357742</v>
      </c>
    </row>
    <row r="13" spans="1:10" s="115" customFormat="1" ht="20.100000000000001" customHeight="1">
      <c r="A13" s="370" t="s">
        <v>367</v>
      </c>
      <c r="B13" s="370" t="s">
        <v>365</v>
      </c>
      <c r="C13" s="371" t="s">
        <v>368</v>
      </c>
      <c r="D13" s="1283"/>
      <c r="E13" s="1287"/>
      <c r="F13" s="1291"/>
      <c r="G13" s="1295"/>
      <c r="H13" s="1299">
        <v>33551765708</v>
      </c>
      <c r="I13" s="1303">
        <f t="shared" si="0"/>
        <v>33551765708</v>
      </c>
    </row>
    <row r="14" spans="1:10" s="1305" customFormat="1" ht="20.100000000000001" customHeight="1">
      <c r="A14" s="1306" t="s">
        <v>369</v>
      </c>
      <c r="B14" s="1306" t="s">
        <v>183</v>
      </c>
      <c r="C14" s="1307" t="s">
        <v>370</v>
      </c>
      <c r="D14" s="1308">
        <f>D12-D13</f>
        <v>297672995</v>
      </c>
      <c r="E14" s="1309">
        <f>E12-E13</f>
        <v>356125408</v>
      </c>
      <c r="F14" s="1310">
        <f>F12-F13</f>
        <v>143934977</v>
      </c>
      <c r="G14" s="1311">
        <f>G12-G13</f>
        <v>218828476</v>
      </c>
      <c r="H14" s="1312">
        <f>H12-H13</f>
        <v>2238030178</v>
      </c>
      <c r="I14" s="1313">
        <f t="shared" si="0"/>
        <v>3254592034</v>
      </c>
    </row>
    <row r="15" spans="1:10" s="1315" customFormat="1" ht="20.100000000000001" customHeight="1">
      <c r="A15" s="1306" t="s">
        <v>371</v>
      </c>
      <c r="B15" s="1306" t="s">
        <v>372</v>
      </c>
      <c r="C15" s="1307" t="s">
        <v>373</v>
      </c>
      <c r="D15" s="1308">
        <f>D11+D14</f>
        <v>3316722</v>
      </c>
      <c r="E15" s="1309">
        <f>E11+E14</f>
        <v>1341901</v>
      </c>
      <c r="F15" s="1310">
        <f>F11+F14</f>
        <v>1545752</v>
      </c>
      <c r="G15" s="1311">
        <f>G11+G14</f>
        <v>3342</v>
      </c>
      <c r="H15" s="1312">
        <f>H11+H14</f>
        <v>3102411491</v>
      </c>
      <c r="I15" s="1313">
        <f>SUM(D15:H15)</f>
        <v>3108619208</v>
      </c>
      <c r="J15" s="1314"/>
    </row>
    <row r="16" spans="1:10" s="115" customFormat="1" ht="20.100000000000001" customHeight="1">
      <c r="A16" s="370" t="s">
        <v>374</v>
      </c>
      <c r="B16" s="370" t="s">
        <v>367</v>
      </c>
      <c r="C16" s="372" t="s">
        <v>375</v>
      </c>
      <c r="D16" s="1283"/>
      <c r="E16" s="1287"/>
      <c r="F16" s="1291"/>
      <c r="G16" s="1295"/>
      <c r="H16" s="1299"/>
      <c r="I16" s="1303">
        <f t="shared" si="0"/>
        <v>0</v>
      </c>
    </row>
    <row r="17" spans="1:12" s="115" customFormat="1" ht="20.100000000000001" customHeight="1">
      <c r="A17" s="370" t="s">
        <v>376</v>
      </c>
      <c r="B17" s="370" t="s">
        <v>369</v>
      </c>
      <c r="C17" s="372" t="s">
        <v>377</v>
      </c>
      <c r="D17" s="1283"/>
      <c r="E17" s="1287"/>
      <c r="F17" s="1291"/>
      <c r="G17" s="1295"/>
      <c r="H17" s="1299">
        <v>0</v>
      </c>
      <c r="I17" s="1303">
        <f t="shared" si="0"/>
        <v>0</v>
      </c>
    </row>
    <row r="18" spans="1:12" s="1305" customFormat="1" ht="20.100000000000001" customHeight="1">
      <c r="A18" s="1306" t="s">
        <v>98</v>
      </c>
      <c r="B18" s="1306" t="s">
        <v>85</v>
      </c>
      <c r="C18" s="1316" t="s">
        <v>378</v>
      </c>
      <c r="D18" s="1308">
        <f>D16-D17</f>
        <v>0</v>
      </c>
      <c r="E18" s="1309">
        <f>E16-E17</f>
        <v>0</v>
      </c>
      <c r="F18" s="1310">
        <f>F16-F17</f>
        <v>0</v>
      </c>
      <c r="G18" s="1311">
        <f>G16-G17</f>
        <v>0</v>
      </c>
      <c r="H18" s="1312">
        <f>H16-H17</f>
        <v>0</v>
      </c>
      <c r="I18" s="1313">
        <f t="shared" si="0"/>
        <v>0</v>
      </c>
    </row>
    <row r="19" spans="1:12" s="115" customFormat="1" ht="20.100000000000001" customHeight="1">
      <c r="A19" s="370" t="s">
        <v>100</v>
      </c>
      <c r="B19" s="370" t="s">
        <v>371</v>
      </c>
      <c r="C19" s="372" t="s">
        <v>379</v>
      </c>
      <c r="D19" s="1283"/>
      <c r="E19" s="1287"/>
      <c r="F19" s="1291">
        <v>0</v>
      </c>
      <c r="G19" s="1295"/>
      <c r="H19" s="1299"/>
      <c r="I19" s="1303">
        <f t="shared" si="0"/>
        <v>0</v>
      </c>
    </row>
    <row r="20" spans="1:12" s="115" customFormat="1" ht="20.100000000000001" customHeight="1">
      <c r="A20" s="370" t="s">
        <v>103</v>
      </c>
      <c r="B20" s="370" t="s">
        <v>374</v>
      </c>
      <c r="C20" s="372" t="s">
        <v>380</v>
      </c>
      <c r="D20" s="1283"/>
      <c r="E20" s="1287"/>
      <c r="F20" s="1291"/>
      <c r="G20" s="1295"/>
      <c r="H20" s="1299"/>
      <c r="I20" s="1303">
        <f t="shared" si="0"/>
        <v>0</v>
      </c>
    </row>
    <row r="21" spans="1:12" s="1305" customFormat="1" ht="20.100000000000001" customHeight="1">
      <c r="A21" s="1306" t="s">
        <v>106</v>
      </c>
      <c r="B21" s="1306" t="s">
        <v>185</v>
      </c>
      <c r="C21" s="1316" t="s">
        <v>381</v>
      </c>
      <c r="D21" s="1308">
        <f>D19-D20</f>
        <v>0</v>
      </c>
      <c r="E21" s="1309">
        <f>E19-E20</f>
        <v>0</v>
      </c>
      <c r="F21" s="1310">
        <f>F19-F20</f>
        <v>0</v>
      </c>
      <c r="G21" s="1311">
        <f>G19-G20</f>
        <v>0</v>
      </c>
      <c r="H21" s="1312">
        <f>H19-H20</f>
        <v>0</v>
      </c>
      <c r="I21" s="1313">
        <f t="shared" si="0"/>
        <v>0</v>
      </c>
    </row>
    <row r="22" spans="1:12" s="1315" customFormat="1" ht="20.100000000000001" customHeight="1">
      <c r="A22" s="1306" t="s">
        <v>108</v>
      </c>
      <c r="B22" s="1317" t="s">
        <v>382</v>
      </c>
      <c r="C22" s="1318" t="s">
        <v>383</v>
      </c>
      <c r="D22" s="1308">
        <f>D18+D21</f>
        <v>0</v>
      </c>
      <c r="E22" s="1309">
        <f>E18+E21</f>
        <v>0</v>
      </c>
      <c r="F22" s="1310">
        <f>F18+F21</f>
        <v>0</v>
      </c>
      <c r="G22" s="1311">
        <f>G18+G21</f>
        <v>0</v>
      </c>
      <c r="H22" s="1312">
        <f>H18+H21</f>
        <v>0</v>
      </c>
      <c r="I22" s="1313">
        <f t="shared" si="0"/>
        <v>0</v>
      </c>
    </row>
    <row r="23" spans="1:12" s="1315" customFormat="1" ht="20.100000000000001" customHeight="1">
      <c r="A23" s="1306" t="s">
        <v>109</v>
      </c>
      <c r="B23" s="1306" t="s">
        <v>384</v>
      </c>
      <c r="C23" s="1319" t="s">
        <v>385</v>
      </c>
      <c r="D23" s="1308">
        <f>D15+D22</f>
        <v>3316722</v>
      </c>
      <c r="E23" s="1309">
        <f>E15+E22</f>
        <v>1341901</v>
      </c>
      <c r="F23" s="1310">
        <f>F15+F22</f>
        <v>1545752</v>
      </c>
      <c r="G23" s="1311">
        <f>G15+G22</f>
        <v>3342</v>
      </c>
      <c r="H23" s="1312">
        <f>H15-H22</f>
        <v>3102411491</v>
      </c>
      <c r="I23" s="1313">
        <f t="shared" si="0"/>
        <v>3108619208</v>
      </c>
    </row>
    <row r="24" spans="1:12" s="1315" customFormat="1" ht="20.100000000000001" customHeight="1">
      <c r="A24" s="1306" t="s">
        <v>111</v>
      </c>
      <c r="B24" s="1306" t="s">
        <v>386</v>
      </c>
      <c r="C24" s="1320" t="s">
        <v>387</v>
      </c>
      <c r="D24" s="1308"/>
      <c r="E24" s="1309">
        <v>1080653</v>
      </c>
      <c r="F24" s="1310"/>
      <c r="G24" s="1311"/>
      <c r="H24" s="1312">
        <v>421205537</v>
      </c>
      <c r="I24" s="1313">
        <f t="shared" si="0"/>
        <v>422286190</v>
      </c>
    </row>
    <row r="25" spans="1:12" s="1315" customFormat="1" ht="20.100000000000001" customHeight="1">
      <c r="A25" s="1321" t="s">
        <v>112</v>
      </c>
      <c r="B25" s="1321" t="s">
        <v>388</v>
      </c>
      <c r="C25" s="1319" t="s">
        <v>389</v>
      </c>
      <c r="D25" s="1308">
        <f>D15-D24</f>
        <v>3316722</v>
      </c>
      <c r="E25" s="1309">
        <f>E15-E24</f>
        <v>261248</v>
      </c>
      <c r="F25" s="1310">
        <f>F15-F24</f>
        <v>1545752</v>
      </c>
      <c r="G25" s="1311">
        <f>G15-G24</f>
        <v>3342</v>
      </c>
      <c r="H25" s="1312">
        <f>H15-H24</f>
        <v>2681205954</v>
      </c>
      <c r="I25" s="1313">
        <f t="shared" si="0"/>
        <v>2686333018</v>
      </c>
    </row>
    <row r="26" spans="1:12" s="1315" customFormat="1" ht="20.100000000000001" customHeight="1">
      <c r="A26" s="1306" t="s">
        <v>113</v>
      </c>
      <c r="B26" s="1306" t="s">
        <v>390</v>
      </c>
      <c r="C26" s="1318" t="s">
        <v>391</v>
      </c>
      <c r="D26" s="1308">
        <f>D22*0.1</f>
        <v>0</v>
      </c>
      <c r="E26" s="1309">
        <f>E22*0.1</f>
        <v>0</v>
      </c>
      <c r="F26" s="1310">
        <f>F22*0.1</f>
        <v>0</v>
      </c>
      <c r="G26" s="1311">
        <f>G22*0.1</f>
        <v>0</v>
      </c>
      <c r="H26" s="1312">
        <f>H22*0.1</f>
        <v>0</v>
      </c>
      <c r="I26" s="1313">
        <f t="shared" si="0"/>
        <v>0</v>
      </c>
    </row>
    <row r="27" spans="1:12" s="1315" customFormat="1" ht="20.100000000000001" customHeight="1">
      <c r="A27" s="1322" t="s">
        <v>392</v>
      </c>
      <c r="B27" s="1322" t="s">
        <v>393</v>
      </c>
      <c r="C27" s="1323" t="s">
        <v>394</v>
      </c>
      <c r="D27" s="1324">
        <f>D22-D26</f>
        <v>0</v>
      </c>
      <c r="E27" s="1325">
        <f>E22-E26</f>
        <v>0</v>
      </c>
      <c r="F27" s="1326">
        <f>F22-F26</f>
        <v>0</v>
      </c>
      <c r="G27" s="1327">
        <f>G22-G26</f>
        <v>0</v>
      </c>
      <c r="H27" s="1328">
        <f>H22-H26</f>
        <v>0</v>
      </c>
      <c r="I27" s="1329">
        <f t="shared" si="0"/>
        <v>0</v>
      </c>
    </row>
    <row r="28" spans="1:12">
      <c r="D28" s="1871"/>
      <c r="E28" s="1871"/>
      <c r="F28" s="1871"/>
      <c r="G28" s="1871"/>
      <c r="H28" s="1871"/>
      <c r="I28" s="1871"/>
    </row>
    <row r="29" spans="1:12">
      <c r="D29" s="1871"/>
      <c r="E29" s="1871"/>
      <c r="F29" s="1871"/>
      <c r="G29" s="1871"/>
      <c r="H29" s="1871"/>
      <c r="I29" s="1871"/>
    </row>
    <row r="30" spans="1:12">
      <c r="D30" s="1871"/>
      <c r="E30" s="1871"/>
      <c r="F30" s="1871"/>
      <c r="G30" s="1871"/>
      <c r="H30" s="1871"/>
      <c r="I30" s="1871"/>
    </row>
    <row r="31" spans="1:12">
      <c r="D31" s="1871"/>
      <c r="E31" s="1871"/>
      <c r="F31" s="1871"/>
      <c r="G31" s="1871"/>
      <c r="H31" s="1871"/>
      <c r="I31" s="1871"/>
    </row>
    <row r="32" spans="1:12">
      <c r="D32" s="1871"/>
      <c r="E32" s="1871"/>
      <c r="F32" s="1871"/>
      <c r="G32" s="1871"/>
      <c r="H32" s="1871"/>
      <c r="I32" s="1871"/>
      <c r="L32" t="s">
        <v>1342</v>
      </c>
    </row>
    <row r="33" spans="4:9">
      <c r="D33" s="1871"/>
      <c r="E33" s="1871"/>
      <c r="F33" s="1871"/>
      <c r="G33" s="1871"/>
      <c r="H33" s="1871"/>
      <c r="I33" s="1871"/>
    </row>
    <row r="34" spans="4:9">
      <c r="D34" s="1871"/>
      <c r="E34" s="1871"/>
      <c r="F34" s="1871"/>
      <c r="G34" s="1871"/>
      <c r="H34" s="1871"/>
      <c r="I34" s="1871"/>
    </row>
    <row r="35" spans="4:9">
      <c r="D35" s="1871"/>
      <c r="E35" s="1871"/>
      <c r="F35" s="1871"/>
      <c r="G35" s="1871"/>
      <c r="H35" s="1871"/>
      <c r="I35" s="1871"/>
    </row>
    <row r="36" spans="4:9">
      <c r="D36" s="1871"/>
      <c r="E36" s="1871"/>
      <c r="F36" s="1871"/>
      <c r="G36" s="1871"/>
      <c r="H36" s="1871"/>
      <c r="I36" s="1871"/>
    </row>
    <row r="37" spans="4:9">
      <c r="D37" s="1871"/>
      <c r="E37" s="1871"/>
      <c r="F37" s="1871"/>
      <c r="G37" s="1871"/>
      <c r="H37" s="1871"/>
      <c r="I37" s="1871"/>
    </row>
    <row r="38" spans="4:9">
      <c r="D38" s="1871"/>
      <c r="E38" s="1871"/>
      <c r="F38" s="1871"/>
      <c r="G38" s="1871"/>
      <c r="H38" s="1871"/>
      <c r="I38" s="1871"/>
    </row>
    <row r="39" spans="4:9">
      <c r="D39" s="1871"/>
      <c r="E39" s="1871"/>
      <c r="F39" s="1871"/>
      <c r="G39" s="1871"/>
      <c r="H39" s="1871"/>
      <c r="I39" s="1871"/>
    </row>
    <row r="40" spans="4:9">
      <c r="D40" s="1871"/>
      <c r="E40" s="1871"/>
      <c r="F40" s="1871"/>
      <c r="G40" s="1871"/>
      <c r="H40" s="1871"/>
      <c r="I40" s="1871"/>
    </row>
    <row r="41" spans="4:9">
      <c r="D41" s="1871"/>
      <c r="E41" s="1871"/>
      <c r="F41" s="1871"/>
      <c r="G41" s="1871"/>
      <c r="H41" s="1871"/>
      <c r="I41" s="1871"/>
    </row>
    <row r="42" spans="4:9">
      <c r="D42" s="1871"/>
      <c r="E42" s="1871"/>
      <c r="F42" s="1871"/>
      <c r="G42" s="1871"/>
      <c r="H42" s="1871"/>
      <c r="I42" s="1871"/>
    </row>
    <row r="43" spans="4:9">
      <c r="D43" s="1871"/>
      <c r="E43" s="1871"/>
      <c r="F43" s="1871"/>
      <c r="G43" s="1871"/>
      <c r="H43" s="1871"/>
      <c r="I43" s="1871"/>
    </row>
    <row r="44" spans="4:9">
      <c r="D44" s="1871"/>
      <c r="E44" s="1871"/>
      <c r="F44" s="1871"/>
      <c r="G44" s="1871"/>
      <c r="H44" s="1871"/>
      <c r="I44" s="1871"/>
    </row>
    <row r="45" spans="4:9">
      <c r="D45" s="1871"/>
      <c r="E45" s="1871"/>
      <c r="F45" s="1871"/>
      <c r="G45" s="1871"/>
      <c r="H45" s="1871"/>
      <c r="I45" s="1871"/>
    </row>
    <row r="46" spans="4:9">
      <c r="D46" s="1871"/>
      <c r="E46" s="1871"/>
      <c r="F46" s="1871"/>
      <c r="G46" s="1871"/>
      <c r="H46" s="1871"/>
      <c r="I46" s="1871"/>
    </row>
    <row r="47" spans="4:9">
      <c r="D47" s="1871"/>
      <c r="E47" s="1871"/>
      <c r="F47" s="1871"/>
      <c r="G47" s="1871"/>
      <c r="H47" s="1871"/>
      <c r="I47" s="1871"/>
    </row>
    <row r="48" spans="4:9">
      <c r="D48" s="1871"/>
      <c r="E48" s="1871"/>
      <c r="F48" s="1871"/>
      <c r="G48" s="1871"/>
      <c r="H48" s="1871"/>
      <c r="I48" s="1871"/>
    </row>
    <row r="49" spans="4:9">
      <c r="D49" s="1871"/>
      <c r="E49" s="1871"/>
      <c r="F49" s="1871"/>
      <c r="G49" s="1871"/>
      <c r="H49" s="1871"/>
      <c r="I49" s="1871"/>
    </row>
    <row r="50" spans="4:9">
      <c r="D50" s="1871"/>
      <c r="E50" s="1871"/>
      <c r="F50" s="1871"/>
      <c r="G50" s="1871"/>
      <c r="H50" s="1871"/>
      <c r="I50" s="1871"/>
    </row>
    <row r="51" spans="4:9">
      <c r="D51" s="1871"/>
      <c r="E51" s="1871"/>
      <c r="F51" s="1871"/>
      <c r="G51" s="1871"/>
      <c r="H51" s="1871"/>
      <c r="I51" s="1871"/>
    </row>
    <row r="52" spans="4:9">
      <c r="D52" s="1871"/>
      <c r="E52" s="1871"/>
      <c r="F52" s="1871"/>
      <c r="G52" s="1871"/>
      <c r="H52" s="1871"/>
      <c r="I52" s="1871"/>
    </row>
    <row r="53" spans="4:9">
      <c r="D53" s="1871"/>
      <c r="E53" s="1871"/>
      <c r="F53" s="1871"/>
      <c r="G53" s="1871"/>
      <c r="H53" s="1871"/>
      <c r="I53" s="1871"/>
    </row>
    <row r="54" spans="4:9">
      <c r="D54" s="1871"/>
      <c r="E54" s="1871"/>
      <c r="F54" s="1871"/>
      <c r="G54" s="1871"/>
      <c r="H54" s="1871"/>
      <c r="I54" s="1871"/>
    </row>
    <row r="55" spans="4:9">
      <c r="D55" s="1871"/>
      <c r="E55" s="1871"/>
      <c r="F55" s="1871"/>
      <c r="G55" s="1871"/>
      <c r="H55" s="1871"/>
      <c r="I55" s="1871"/>
    </row>
    <row r="56" spans="4:9">
      <c r="D56" s="1871"/>
      <c r="E56" s="1871"/>
      <c r="F56" s="1871"/>
      <c r="G56" s="1871"/>
      <c r="H56" s="1871"/>
      <c r="I56" s="1871"/>
    </row>
    <row r="57" spans="4:9">
      <c r="D57" s="1871"/>
      <c r="E57" s="1871"/>
      <c r="F57" s="1871"/>
      <c r="G57" s="1871"/>
      <c r="H57" s="1871"/>
      <c r="I57" s="1871"/>
    </row>
    <row r="58" spans="4:9">
      <c r="D58" s="1871"/>
      <c r="E58" s="1871"/>
      <c r="F58" s="1871"/>
      <c r="G58" s="1871"/>
      <c r="H58" s="1871"/>
      <c r="I58" s="1871"/>
    </row>
    <row r="59" spans="4:9">
      <c r="D59" s="1871"/>
      <c r="E59" s="1871"/>
      <c r="F59" s="1871"/>
      <c r="G59" s="1871"/>
      <c r="H59" s="1871"/>
      <c r="I59" s="1871"/>
    </row>
    <row r="60" spans="4:9">
      <c r="D60" s="1871"/>
      <c r="E60" s="1871"/>
      <c r="F60" s="1871"/>
      <c r="G60" s="1871"/>
      <c r="H60" s="1871"/>
      <c r="I60" s="1871"/>
    </row>
    <row r="61" spans="4:9">
      <c r="D61" s="1871"/>
      <c r="E61" s="1871"/>
      <c r="F61" s="1871"/>
      <c r="G61" s="1871"/>
      <c r="H61" s="1871"/>
      <c r="I61" s="1871"/>
    </row>
    <row r="62" spans="4:9">
      <c r="D62" s="1871"/>
      <c r="E62" s="1871"/>
      <c r="F62" s="1871"/>
      <c r="G62" s="1871"/>
      <c r="H62" s="1871"/>
      <c r="I62" s="1871"/>
    </row>
    <row r="63" spans="4:9">
      <c r="D63" s="1871"/>
      <c r="E63" s="1871"/>
      <c r="F63" s="1871"/>
      <c r="G63" s="1871"/>
      <c r="H63" s="1871"/>
      <c r="I63" s="1871"/>
    </row>
    <row r="64" spans="4:9">
      <c r="D64" s="1871"/>
      <c r="E64" s="1871"/>
      <c r="F64" s="1871"/>
      <c r="G64" s="1871"/>
      <c r="H64" s="1871"/>
      <c r="I64" s="1871"/>
    </row>
    <row r="65" spans="4:9">
      <c r="D65" s="1871"/>
      <c r="E65" s="1871"/>
      <c r="F65" s="1871"/>
      <c r="G65" s="1871"/>
      <c r="H65" s="1871"/>
      <c r="I65" s="1871"/>
    </row>
    <row r="66" spans="4:9">
      <c r="D66" s="1871"/>
      <c r="E66" s="1871"/>
      <c r="F66" s="1871"/>
      <c r="G66" s="1871"/>
      <c r="H66" s="1871"/>
      <c r="I66" s="1871"/>
    </row>
    <row r="67" spans="4:9">
      <c r="D67" s="1871"/>
      <c r="E67" s="1871"/>
      <c r="F67" s="1871"/>
      <c r="G67" s="1871"/>
      <c r="H67" s="1871"/>
      <c r="I67" s="1871"/>
    </row>
    <row r="68" spans="4:9">
      <c r="D68" s="1871"/>
      <c r="E68" s="1871"/>
      <c r="F68" s="1871"/>
      <c r="G68" s="1871"/>
      <c r="H68" s="1871"/>
      <c r="I68" s="1871"/>
    </row>
    <row r="69" spans="4:9">
      <c r="D69" s="1871"/>
      <c r="E69" s="1871"/>
      <c r="F69" s="1871"/>
      <c r="G69" s="1871"/>
      <c r="H69" s="1871"/>
      <c r="I69" s="1871"/>
    </row>
    <row r="70" spans="4:9">
      <c r="D70" s="1871"/>
      <c r="E70" s="1871"/>
      <c r="F70" s="1871"/>
      <c r="G70" s="1871"/>
      <c r="H70" s="1871"/>
      <c r="I70" s="1871"/>
    </row>
    <row r="71" spans="4:9">
      <c r="D71" s="1871"/>
      <c r="E71" s="1871"/>
      <c r="F71" s="1871"/>
      <c r="G71" s="1871"/>
      <c r="H71" s="1871"/>
      <c r="I71" s="1871"/>
    </row>
    <row r="72" spans="4:9">
      <c r="D72" s="1871"/>
      <c r="E72" s="1871"/>
      <c r="F72" s="1871"/>
      <c r="G72" s="1871"/>
      <c r="H72" s="1871"/>
      <c r="I72" s="1871"/>
    </row>
    <row r="73" spans="4:9">
      <c r="D73" s="1871"/>
      <c r="E73" s="1871"/>
      <c r="F73" s="1871"/>
      <c r="G73" s="1871"/>
      <c r="H73" s="1871"/>
      <c r="I73" s="1871"/>
    </row>
    <row r="74" spans="4:9">
      <c r="D74" s="1871"/>
      <c r="E74" s="1871"/>
      <c r="F74" s="1871"/>
      <c r="G74" s="1871"/>
      <c r="H74" s="1871"/>
      <c r="I74" s="1871"/>
    </row>
    <row r="75" spans="4:9">
      <c r="D75" s="1871"/>
      <c r="E75" s="1871"/>
      <c r="F75" s="1871"/>
      <c r="G75" s="1871"/>
      <c r="H75" s="1871"/>
      <c r="I75" s="1871"/>
    </row>
    <row r="76" spans="4:9">
      <c r="D76" s="1871"/>
      <c r="E76" s="1871"/>
      <c r="F76" s="1871"/>
      <c r="G76" s="1871"/>
      <c r="H76" s="1871"/>
      <c r="I76" s="1871"/>
    </row>
    <row r="77" spans="4:9">
      <c r="D77" s="1871"/>
      <c r="E77" s="1871"/>
      <c r="F77" s="1871"/>
      <c r="G77" s="1871"/>
      <c r="H77" s="1871"/>
      <c r="I77" s="1871"/>
    </row>
    <row r="78" spans="4:9">
      <c r="D78" s="1871"/>
      <c r="E78" s="1871"/>
      <c r="F78" s="1871"/>
      <c r="G78" s="1871"/>
      <c r="H78" s="1871"/>
      <c r="I78" s="1871"/>
    </row>
    <row r="79" spans="4:9">
      <c r="D79" s="1871"/>
      <c r="E79" s="1871"/>
      <c r="F79" s="1871"/>
      <c r="G79" s="1871"/>
      <c r="H79" s="1871"/>
      <c r="I79" s="1871"/>
    </row>
    <row r="80" spans="4:9">
      <c r="D80" s="1871"/>
      <c r="E80" s="1871"/>
      <c r="F80" s="1871"/>
      <c r="G80" s="1871"/>
      <c r="H80" s="1871"/>
      <c r="I80" s="1871"/>
    </row>
    <row r="81" spans="4:9">
      <c r="D81" s="1871"/>
      <c r="E81" s="1871"/>
      <c r="F81" s="1871"/>
      <c r="G81" s="1871"/>
      <c r="H81" s="1871"/>
      <c r="I81" s="1871"/>
    </row>
    <row r="82" spans="4:9">
      <c r="D82" s="1871"/>
      <c r="E82" s="1871"/>
      <c r="F82" s="1871"/>
      <c r="G82" s="1871"/>
      <c r="H82" s="1871"/>
      <c r="I82" s="1871"/>
    </row>
    <row r="83" spans="4:9">
      <c r="D83" s="1871"/>
      <c r="E83" s="1871"/>
      <c r="F83" s="1871"/>
      <c r="G83" s="1871"/>
      <c r="H83" s="1871"/>
      <c r="I83" s="1871"/>
    </row>
    <row r="84" spans="4:9">
      <c r="D84" s="1871"/>
      <c r="E84" s="1871"/>
      <c r="F84" s="1871"/>
      <c r="G84" s="1871"/>
      <c r="H84" s="1871"/>
      <c r="I84" s="1871"/>
    </row>
    <row r="85" spans="4:9">
      <c r="D85" s="1871"/>
      <c r="E85" s="1871"/>
      <c r="F85" s="1871"/>
      <c r="G85" s="1871"/>
      <c r="H85" s="1871"/>
      <c r="I85" s="1871"/>
    </row>
    <row r="86" spans="4:9">
      <c r="D86" s="1871"/>
      <c r="E86" s="1871"/>
      <c r="F86" s="1871"/>
      <c r="G86" s="1871"/>
      <c r="H86" s="1871"/>
      <c r="I86" s="1871"/>
    </row>
    <row r="87" spans="4:9">
      <c r="D87" s="1871"/>
      <c r="E87" s="1871"/>
      <c r="F87" s="1871"/>
      <c r="G87" s="1871"/>
      <c r="H87" s="1871"/>
      <c r="I87" s="1871"/>
    </row>
    <row r="88" spans="4:9">
      <c r="D88" s="1871"/>
      <c r="E88" s="1871"/>
      <c r="F88" s="1871"/>
      <c r="G88" s="1871"/>
      <c r="H88" s="1871"/>
      <c r="I88" s="1871"/>
    </row>
    <row r="89" spans="4:9">
      <c r="D89" s="1871"/>
      <c r="E89" s="1871"/>
      <c r="F89" s="1871"/>
      <c r="G89" s="1871"/>
      <c r="H89" s="1871"/>
      <c r="I89" s="1871"/>
    </row>
    <row r="90" spans="4:9">
      <c r="D90" s="1871"/>
      <c r="E90" s="1871"/>
      <c r="F90" s="1871"/>
      <c r="G90" s="1871"/>
      <c r="H90" s="1871"/>
      <c r="I90" s="1871"/>
    </row>
    <row r="91" spans="4:9">
      <c r="D91" s="1871"/>
      <c r="E91" s="1871"/>
      <c r="F91" s="1871"/>
      <c r="G91" s="1871"/>
      <c r="H91" s="1871"/>
      <c r="I91" s="1871"/>
    </row>
    <row r="92" spans="4:9">
      <c r="D92" s="1871"/>
      <c r="E92" s="1871"/>
      <c r="F92" s="1871"/>
      <c r="G92" s="1871"/>
      <c r="H92" s="1871"/>
      <c r="I92" s="1871"/>
    </row>
    <row r="93" spans="4:9">
      <c r="D93" s="1871"/>
      <c r="E93" s="1871"/>
      <c r="F93" s="1871"/>
      <c r="G93" s="1871"/>
      <c r="H93" s="1871"/>
      <c r="I93" s="1871"/>
    </row>
    <row r="94" spans="4:9">
      <c r="D94" s="1871"/>
      <c r="E94" s="1871"/>
      <c r="F94" s="1871"/>
      <c r="G94" s="1871"/>
      <c r="H94" s="1871"/>
      <c r="I94" s="1871"/>
    </row>
    <row r="95" spans="4:9">
      <c r="D95" s="1871"/>
      <c r="E95" s="1871"/>
      <c r="F95" s="1871"/>
      <c r="G95" s="1871"/>
      <c r="H95" s="1871"/>
      <c r="I95" s="1871"/>
    </row>
    <row r="96" spans="4:9">
      <c r="D96" s="1871"/>
      <c r="E96" s="1871"/>
      <c r="F96" s="1871"/>
      <c r="G96" s="1871"/>
      <c r="H96" s="1871"/>
      <c r="I96" s="1871"/>
    </row>
    <row r="97" spans="4:9">
      <c r="D97" s="1871"/>
      <c r="E97" s="1871"/>
      <c r="F97" s="1871"/>
      <c r="G97" s="1871"/>
      <c r="H97" s="1871"/>
      <c r="I97" s="1871"/>
    </row>
    <row r="98" spans="4:9">
      <c r="D98" s="1871"/>
      <c r="E98" s="1871"/>
      <c r="F98" s="1871"/>
      <c r="G98" s="1871"/>
      <c r="H98" s="1871"/>
      <c r="I98" s="1871"/>
    </row>
    <row r="99" spans="4:9">
      <c r="D99" s="1871"/>
      <c r="E99" s="1871"/>
      <c r="F99" s="1871"/>
      <c r="G99" s="1871"/>
      <c r="H99" s="1871"/>
      <c r="I99" s="1871"/>
    </row>
    <row r="100" spans="4:9">
      <c r="D100" s="1871"/>
      <c r="E100" s="1871"/>
      <c r="F100" s="1871"/>
      <c r="G100" s="1871"/>
      <c r="H100" s="1871"/>
      <c r="I100" s="1871"/>
    </row>
    <row r="101" spans="4:9">
      <c r="D101" s="1871"/>
      <c r="E101" s="1871"/>
      <c r="F101" s="1871"/>
      <c r="G101" s="1871"/>
      <c r="H101" s="1871"/>
      <c r="I101" s="1871"/>
    </row>
    <row r="102" spans="4:9">
      <c r="D102" s="1871"/>
      <c r="E102" s="1871"/>
      <c r="F102" s="1871"/>
      <c r="G102" s="1871"/>
      <c r="H102" s="1871"/>
      <c r="I102" s="1871"/>
    </row>
    <row r="103" spans="4:9">
      <c r="D103" s="1871"/>
      <c r="E103" s="1871"/>
      <c r="F103" s="1871"/>
      <c r="G103" s="1871"/>
      <c r="H103" s="1871"/>
      <c r="I103" s="1871"/>
    </row>
    <row r="104" spans="4:9">
      <c r="D104" s="1871"/>
      <c r="E104" s="1871"/>
      <c r="F104" s="1871"/>
      <c r="G104" s="1871"/>
      <c r="H104" s="1871"/>
      <c r="I104" s="1871"/>
    </row>
    <row r="105" spans="4:9">
      <c r="D105" s="1871"/>
      <c r="E105" s="1871"/>
      <c r="F105" s="1871"/>
      <c r="G105" s="1871"/>
      <c r="H105" s="1871"/>
      <c r="I105" s="1871"/>
    </row>
    <row r="106" spans="4:9">
      <c r="D106" s="1871"/>
      <c r="E106" s="1871"/>
      <c r="F106" s="1871"/>
      <c r="G106" s="1871"/>
      <c r="H106" s="1871"/>
      <c r="I106" s="1871"/>
    </row>
    <row r="107" spans="4:9">
      <c r="D107" s="1871"/>
      <c r="E107" s="1871"/>
      <c r="F107" s="1871"/>
      <c r="G107" s="1871"/>
      <c r="H107" s="1871"/>
      <c r="I107" s="1871"/>
    </row>
    <row r="108" spans="4:9">
      <c r="D108" s="1871"/>
      <c r="E108" s="1871"/>
      <c r="F108" s="1871"/>
      <c r="G108" s="1871"/>
      <c r="H108" s="1871"/>
      <c r="I108" s="1871"/>
    </row>
    <row r="109" spans="4:9">
      <c r="D109" s="1871"/>
      <c r="E109" s="1871"/>
      <c r="F109" s="1871"/>
      <c r="G109" s="1871"/>
      <c r="H109" s="1871"/>
      <c r="I109" s="1871"/>
    </row>
    <row r="110" spans="4:9">
      <c r="D110" s="1871"/>
      <c r="E110" s="1871"/>
      <c r="F110" s="1871"/>
      <c r="G110" s="1871"/>
      <c r="H110" s="1871"/>
      <c r="I110" s="1871"/>
    </row>
    <row r="111" spans="4:9">
      <c r="D111" s="1871"/>
      <c r="E111" s="1871"/>
      <c r="F111" s="1871"/>
      <c r="G111" s="1871"/>
      <c r="H111" s="1871"/>
      <c r="I111" s="1871"/>
    </row>
    <row r="112" spans="4:9">
      <c r="D112" s="1871"/>
      <c r="E112" s="1871"/>
      <c r="F112" s="1871"/>
      <c r="G112" s="1871"/>
      <c r="H112" s="1871"/>
      <c r="I112" s="1871"/>
    </row>
    <row r="113" spans="4:9">
      <c r="D113" s="1871"/>
      <c r="E113" s="1871"/>
      <c r="F113" s="1871"/>
      <c r="G113" s="1871"/>
      <c r="H113" s="1871"/>
      <c r="I113" s="1871"/>
    </row>
    <row r="114" spans="4:9">
      <c r="D114" s="1871"/>
      <c r="E114" s="1871"/>
      <c r="F114" s="1871"/>
      <c r="G114" s="1871"/>
      <c r="H114" s="1871"/>
      <c r="I114" s="1871"/>
    </row>
    <row r="115" spans="4:9">
      <c r="D115" s="1871"/>
      <c r="E115" s="1871"/>
      <c r="F115" s="1871"/>
      <c r="G115" s="1871"/>
      <c r="H115" s="1871"/>
      <c r="I115" s="1871"/>
    </row>
    <row r="116" spans="4:9">
      <c r="D116" s="1871"/>
      <c r="E116" s="1871"/>
      <c r="F116" s="1871"/>
      <c r="G116" s="1871"/>
      <c r="H116" s="1871"/>
      <c r="I116" s="1871"/>
    </row>
    <row r="117" spans="4:9">
      <c r="D117" s="1871"/>
      <c r="E117" s="1871"/>
      <c r="F117" s="1871"/>
      <c r="G117" s="1871"/>
      <c r="H117" s="1871"/>
      <c r="I117" s="1871"/>
    </row>
    <row r="118" spans="4:9">
      <c r="D118" s="1871"/>
      <c r="E118" s="1871"/>
      <c r="F118" s="1871"/>
      <c r="G118" s="1871"/>
      <c r="H118" s="1871"/>
      <c r="I118" s="1871"/>
    </row>
    <row r="119" spans="4:9">
      <c r="D119" s="1871"/>
      <c r="E119" s="1871"/>
      <c r="F119" s="1871"/>
      <c r="G119" s="1871"/>
      <c r="H119" s="1871"/>
      <c r="I119" s="1871"/>
    </row>
    <row r="120" spans="4:9">
      <c r="D120" s="1871"/>
      <c r="E120" s="1871"/>
      <c r="F120" s="1871"/>
      <c r="G120" s="1871"/>
      <c r="H120" s="1871"/>
      <c r="I120" s="1871"/>
    </row>
    <row r="121" spans="4:9">
      <c r="D121" s="1871"/>
      <c r="E121" s="1871"/>
      <c r="F121" s="1871"/>
      <c r="G121" s="1871"/>
      <c r="H121" s="1871"/>
      <c r="I121" s="1871"/>
    </row>
    <row r="122" spans="4:9">
      <c r="D122" s="1871"/>
      <c r="E122" s="1871"/>
      <c r="F122" s="1871"/>
      <c r="G122" s="1871"/>
      <c r="H122" s="1871"/>
      <c r="I122" s="1871"/>
    </row>
    <row r="123" spans="4:9">
      <c r="D123" s="1871"/>
      <c r="E123" s="1871"/>
      <c r="F123" s="1871"/>
      <c r="G123" s="1871"/>
      <c r="H123" s="1871"/>
      <c r="I123" s="1871"/>
    </row>
    <row r="124" spans="4:9">
      <c r="D124" s="1871"/>
      <c r="E124" s="1871"/>
      <c r="F124" s="1871"/>
      <c r="G124" s="1871"/>
      <c r="H124" s="1871"/>
      <c r="I124" s="1871"/>
    </row>
    <row r="125" spans="4:9">
      <c r="D125" s="1871"/>
      <c r="E125" s="1871"/>
      <c r="F125" s="1871"/>
      <c r="G125" s="1871"/>
      <c r="H125" s="1871"/>
      <c r="I125" s="1871"/>
    </row>
    <row r="126" spans="4:9">
      <c r="D126" s="1871"/>
      <c r="E126" s="1871"/>
      <c r="F126" s="1871"/>
      <c r="G126" s="1871"/>
      <c r="H126" s="1871"/>
      <c r="I126" s="1871"/>
    </row>
    <row r="127" spans="4:9">
      <c r="D127" s="1871"/>
      <c r="E127" s="1871"/>
      <c r="F127" s="1871"/>
      <c r="G127" s="1871"/>
      <c r="H127" s="1871"/>
      <c r="I127" s="1871"/>
    </row>
    <row r="128" spans="4:9">
      <c r="D128" s="1871"/>
      <c r="E128" s="1871"/>
      <c r="F128" s="1871"/>
      <c r="G128" s="1871"/>
      <c r="H128" s="1871"/>
      <c r="I128" s="1871"/>
    </row>
    <row r="129" spans="4:9">
      <c r="D129" s="1871"/>
      <c r="E129" s="1871"/>
      <c r="F129" s="1871"/>
      <c r="G129" s="1871"/>
      <c r="H129" s="1871"/>
      <c r="I129" s="1871"/>
    </row>
    <row r="130" spans="4:9">
      <c r="D130" s="1871"/>
      <c r="E130" s="1871"/>
      <c r="F130" s="1871"/>
      <c r="G130" s="1871"/>
      <c r="H130" s="1871"/>
      <c r="I130" s="1871"/>
    </row>
    <row r="131" spans="4:9">
      <c r="D131" s="1871"/>
      <c r="E131" s="1871"/>
      <c r="F131" s="1871"/>
      <c r="G131" s="1871"/>
      <c r="H131" s="1871"/>
      <c r="I131" s="1871"/>
    </row>
    <row r="132" spans="4:9">
      <c r="D132" s="1871"/>
      <c r="E132" s="1871"/>
      <c r="F132" s="1871"/>
      <c r="G132" s="1871"/>
      <c r="H132" s="1871"/>
      <c r="I132" s="1871"/>
    </row>
    <row r="133" spans="4:9">
      <c r="D133" s="1871"/>
      <c r="E133" s="1871"/>
      <c r="F133" s="1871"/>
      <c r="G133" s="1871"/>
      <c r="H133" s="1871"/>
      <c r="I133" s="1871"/>
    </row>
    <row r="134" spans="4:9">
      <c r="D134" s="1871"/>
      <c r="E134" s="1871"/>
      <c r="F134" s="1871"/>
      <c r="G134" s="1871"/>
      <c r="H134" s="1871"/>
      <c r="I134" s="1871"/>
    </row>
    <row r="135" spans="4:9">
      <c r="D135" s="1871"/>
      <c r="E135" s="1871"/>
      <c r="F135" s="1871"/>
      <c r="G135" s="1871"/>
      <c r="H135" s="1871"/>
      <c r="I135" s="1871"/>
    </row>
    <row r="136" spans="4:9">
      <c r="D136" s="1871"/>
      <c r="E136" s="1871"/>
      <c r="F136" s="1871"/>
      <c r="G136" s="1871"/>
      <c r="H136" s="1871"/>
      <c r="I136" s="1871"/>
    </row>
    <row r="137" spans="4:9">
      <c r="D137" s="1871"/>
      <c r="E137" s="1871"/>
      <c r="F137" s="1871"/>
      <c r="G137" s="1871"/>
      <c r="H137" s="1871"/>
      <c r="I137" s="1871"/>
    </row>
    <row r="138" spans="4:9">
      <c r="D138" s="1871"/>
      <c r="E138" s="1871"/>
      <c r="F138" s="1871"/>
      <c r="G138" s="1871"/>
      <c r="H138" s="1871"/>
      <c r="I138" s="1871"/>
    </row>
    <row r="139" spans="4:9">
      <c r="D139" s="1871"/>
      <c r="E139" s="1871"/>
      <c r="F139" s="1871"/>
      <c r="G139" s="1871"/>
      <c r="H139" s="1871"/>
      <c r="I139" s="1871"/>
    </row>
    <row r="140" spans="4:9">
      <c r="D140" s="1871"/>
      <c r="E140" s="1871"/>
      <c r="F140" s="1871"/>
      <c r="G140" s="1871"/>
      <c r="H140" s="1871"/>
      <c r="I140" s="1871"/>
    </row>
    <row r="141" spans="4:9">
      <c r="D141" s="1871"/>
      <c r="E141" s="1871"/>
      <c r="F141" s="1871"/>
      <c r="G141" s="1871"/>
      <c r="H141" s="1871"/>
      <c r="I141" s="1871"/>
    </row>
    <row r="142" spans="4:9">
      <c r="D142" s="1871"/>
      <c r="E142" s="1871"/>
      <c r="F142" s="1871"/>
      <c r="G142" s="1871"/>
      <c r="H142" s="1871"/>
      <c r="I142" s="1871"/>
    </row>
    <row r="143" spans="4:9">
      <c r="D143" s="1871"/>
      <c r="E143" s="1871"/>
      <c r="F143" s="1871"/>
      <c r="G143" s="1871"/>
      <c r="H143" s="1871"/>
      <c r="I143" s="1871"/>
    </row>
    <row r="144" spans="4:9">
      <c r="D144" s="1871"/>
      <c r="E144" s="1871"/>
      <c r="F144" s="1871"/>
      <c r="G144" s="1871"/>
      <c r="H144" s="1871"/>
      <c r="I144" s="1871"/>
    </row>
    <row r="145" spans="4:9">
      <c r="D145" s="1871"/>
      <c r="E145" s="1871"/>
      <c r="F145" s="1871"/>
      <c r="G145" s="1871"/>
      <c r="H145" s="1871"/>
      <c r="I145" s="1871"/>
    </row>
    <row r="146" spans="4:9">
      <c r="D146" s="1871"/>
      <c r="E146" s="1871"/>
      <c r="F146" s="1871"/>
      <c r="G146" s="1871"/>
      <c r="H146" s="1871"/>
      <c r="I146" s="1871"/>
    </row>
    <row r="147" spans="4:9">
      <c r="D147" s="1871"/>
      <c r="E147" s="1871"/>
      <c r="F147" s="1871"/>
      <c r="G147" s="1871"/>
      <c r="H147" s="1871"/>
      <c r="I147" s="1871"/>
    </row>
    <row r="148" spans="4:9">
      <c r="D148" s="1871"/>
      <c r="E148" s="1871"/>
      <c r="F148" s="1871"/>
      <c r="G148" s="1871"/>
      <c r="H148" s="1871"/>
      <c r="I148" s="1871"/>
    </row>
    <row r="149" spans="4:9">
      <c r="D149" s="1871"/>
      <c r="E149" s="1871"/>
      <c r="F149" s="1871"/>
      <c r="G149" s="1871"/>
      <c r="H149" s="1871"/>
      <c r="I149" s="1871"/>
    </row>
    <row r="150" spans="4:9">
      <c r="D150" s="1871"/>
      <c r="E150" s="1871"/>
      <c r="F150" s="1871"/>
      <c r="G150" s="1871"/>
      <c r="H150" s="1871"/>
      <c r="I150" s="1871"/>
    </row>
    <row r="151" spans="4:9">
      <c r="D151" s="1871"/>
      <c r="E151" s="1871"/>
      <c r="F151" s="1871"/>
      <c r="G151" s="1871"/>
      <c r="H151" s="1871"/>
      <c r="I151" s="1871"/>
    </row>
    <row r="152" spans="4:9">
      <c r="D152" s="1871"/>
      <c r="E152" s="1871"/>
      <c r="F152" s="1871"/>
      <c r="G152" s="1871"/>
      <c r="H152" s="1871"/>
      <c r="I152" s="1871"/>
    </row>
    <row r="153" spans="4:9">
      <c r="D153" s="1871"/>
      <c r="E153" s="1871"/>
      <c r="F153" s="1871"/>
      <c r="G153" s="1871"/>
      <c r="H153" s="1871"/>
      <c r="I153" s="1871"/>
    </row>
    <row r="154" spans="4:9">
      <c r="D154" s="1871"/>
      <c r="E154" s="1871"/>
      <c r="F154" s="1871"/>
      <c r="G154" s="1871"/>
      <c r="H154" s="1871"/>
      <c r="I154" s="1871"/>
    </row>
    <row r="155" spans="4:9">
      <c r="D155" s="1871"/>
      <c r="E155" s="1871"/>
      <c r="F155" s="1871"/>
      <c r="G155" s="1871"/>
      <c r="H155" s="1871"/>
      <c r="I155" s="1871"/>
    </row>
    <row r="156" spans="4:9">
      <c r="D156" s="1871"/>
      <c r="E156" s="1871"/>
      <c r="F156" s="1871"/>
      <c r="G156" s="1871"/>
      <c r="H156" s="1871"/>
      <c r="I156" s="1871"/>
    </row>
    <row r="157" spans="4:9">
      <c r="D157" s="1871"/>
      <c r="E157" s="1871"/>
      <c r="F157" s="1871"/>
      <c r="G157" s="1871"/>
      <c r="H157" s="1871"/>
      <c r="I157" s="1871"/>
    </row>
    <row r="158" spans="4:9">
      <c r="D158" s="1871"/>
      <c r="E158" s="1871"/>
      <c r="F158" s="1871"/>
      <c r="G158" s="1871"/>
      <c r="H158" s="1871"/>
      <c r="I158" s="1871"/>
    </row>
  </sheetData>
  <mergeCells count="1">
    <mergeCell ref="A3:I3"/>
  </mergeCells>
  <printOptions headings="1"/>
  <pageMargins left="0.51181102362204722" right="0.51181102362204722" top="0.55118110236220474" bottom="0.55118110236220474" header="0.11811023622047245" footer="0.51181102362204722"/>
  <pageSetup paperSize="9" scale="70" firstPageNumber="0" orientation="landscape" r:id="rId1"/>
  <headerFooter>
    <oddHeader>&amp;R&amp;A melléklet a /2026.(V.28.) önkormányzati rendelethez/ &amp;P.oldal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M72"/>
  <sheetViews>
    <sheetView zoomScaleNormal="100" workbookViewId="0">
      <selection activeCell="I77" sqref="I77"/>
    </sheetView>
  </sheetViews>
  <sheetFormatPr defaultRowHeight="15"/>
  <cols>
    <col min="1" max="1" width="9.140625" style="1734"/>
    <col min="2" max="4" width="9.140625" style="113"/>
    <col min="5" max="5" width="64.5703125" style="113" bestFit="1" customWidth="1"/>
    <col min="6" max="6" width="11.28515625" style="373" bestFit="1" customWidth="1"/>
    <col min="7" max="7" width="12" style="465" bestFit="1" customWidth="1"/>
    <col min="8" max="8" width="6.5703125" style="374" customWidth="1"/>
    <col min="9" max="11" width="9.140625" style="374"/>
    <col min="12" max="12" width="15.42578125" style="374" customWidth="1"/>
    <col min="13" max="13" width="13.140625" style="374" customWidth="1"/>
    <col min="14" max="1025" width="8.7109375"/>
  </cols>
  <sheetData>
    <row r="1" spans="1:13" ht="18.75">
      <c r="A1"/>
      <c r="B1" s="2200" t="s">
        <v>395</v>
      </c>
      <c r="C1" s="2200"/>
      <c r="D1" s="2200"/>
      <c r="E1" s="2200"/>
      <c r="F1" s="2200"/>
      <c r="G1" s="2200"/>
      <c r="H1" s="2200"/>
      <c r="I1" s="2200"/>
      <c r="J1" s="2200"/>
      <c r="K1" s="2200"/>
      <c r="L1" s="2200"/>
      <c r="M1" s="2200"/>
    </row>
    <row r="2" spans="1:13" ht="18.75">
      <c r="A2"/>
      <c r="B2" s="2200" t="s">
        <v>2198</v>
      </c>
      <c r="C2" s="2200"/>
      <c r="D2" s="2200"/>
      <c r="E2" s="2200"/>
      <c r="F2" s="2200"/>
      <c r="G2" s="2200"/>
      <c r="H2" s="2200"/>
      <c r="I2" s="2200"/>
      <c r="J2" s="2200"/>
      <c r="K2" s="2200"/>
      <c r="L2" s="2200"/>
      <c r="M2" s="2200"/>
    </row>
    <row r="3" spans="1:13" ht="18.75">
      <c r="A3"/>
      <c r="B3" s="2201" t="s">
        <v>44</v>
      </c>
      <c r="C3" s="2201"/>
      <c r="D3" s="2201"/>
      <c r="E3" s="2201"/>
      <c r="F3" s="2201"/>
      <c r="G3" s="2201"/>
      <c r="H3" s="2201"/>
      <c r="I3" s="2201"/>
      <c r="J3" s="2201"/>
      <c r="K3" s="2201"/>
      <c r="L3" s="2201"/>
      <c r="M3" s="2201"/>
    </row>
    <row r="4" spans="1:13" ht="16.5" thickBot="1">
      <c r="A4"/>
      <c r="B4" s="1"/>
      <c r="C4" s="1"/>
      <c r="D4" s="1"/>
      <c r="E4" s="1"/>
      <c r="F4" s="1"/>
      <c r="G4" s="6"/>
      <c r="H4" s="375"/>
      <c r="I4" s="375"/>
      <c r="J4"/>
      <c r="K4"/>
      <c r="L4"/>
      <c r="M4" s="22" t="s">
        <v>38</v>
      </c>
    </row>
    <row r="5" spans="1:13" thickBot="1">
      <c r="A5" s="2202" t="s">
        <v>396</v>
      </c>
      <c r="B5" s="2202"/>
      <c r="C5" s="2202"/>
      <c r="D5" s="2202"/>
      <c r="E5" s="2202"/>
      <c r="F5" s="1532" t="s">
        <v>1736</v>
      </c>
      <c r="G5" s="1532" t="s">
        <v>2198</v>
      </c>
      <c r="H5" s="2203" t="s">
        <v>397</v>
      </c>
      <c r="I5" s="2204"/>
      <c r="J5" s="2204"/>
      <c r="K5" s="2204"/>
      <c r="L5" s="376" t="s">
        <v>1736</v>
      </c>
      <c r="M5" s="377" t="s">
        <v>2198</v>
      </c>
    </row>
    <row r="6" spans="1:13">
      <c r="A6" s="378" t="s">
        <v>398</v>
      </c>
      <c r="B6" s="1900" t="s">
        <v>399</v>
      </c>
      <c r="C6" s="1900"/>
      <c r="D6" s="379"/>
      <c r="E6" s="1900"/>
      <c r="F6" s="477"/>
      <c r="G6" s="477"/>
      <c r="H6" s="472" t="s">
        <v>400</v>
      </c>
      <c r="I6" s="380" t="s">
        <v>401</v>
      </c>
      <c r="J6" s="381"/>
      <c r="K6" s="381"/>
      <c r="L6" s="470"/>
      <c r="M6" s="382"/>
    </row>
    <row r="7" spans="1:13">
      <c r="A7" s="383"/>
      <c r="B7" s="384" t="s">
        <v>176</v>
      </c>
      <c r="C7" s="2205" t="s">
        <v>402</v>
      </c>
      <c r="D7" s="2205"/>
      <c r="E7" s="2205"/>
      <c r="F7" s="1533"/>
      <c r="G7" s="1533"/>
      <c r="H7" s="473"/>
      <c r="I7" s="385" t="s">
        <v>176</v>
      </c>
      <c r="J7" s="2206" t="s">
        <v>403</v>
      </c>
      <c r="K7" s="2206"/>
      <c r="L7" s="1655">
        <v>5461031000</v>
      </c>
      <c r="M7" s="1655">
        <v>5461031000</v>
      </c>
    </row>
    <row r="8" spans="1:13">
      <c r="A8" s="386"/>
      <c r="B8" s="384"/>
      <c r="C8" s="1730"/>
      <c r="D8" s="1730"/>
      <c r="E8" s="1730"/>
      <c r="F8" s="1533"/>
      <c r="G8" s="1533"/>
      <c r="H8" s="474"/>
      <c r="I8" s="385" t="s">
        <v>183</v>
      </c>
      <c r="J8" s="2207" t="s">
        <v>404</v>
      </c>
      <c r="K8" s="2207"/>
      <c r="L8" s="1655">
        <v>1309396000</v>
      </c>
      <c r="M8" s="1901">
        <v>1812388000</v>
      </c>
    </row>
    <row r="9" spans="1:13" ht="15" customHeight="1">
      <c r="A9" s="386"/>
      <c r="B9" s="384"/>
      <c r="C9" s="387" t="s">
        <v>405</v>
      </c>
      <c r="D9" s="388" t="s">
        <v>406</v>
      </c>
      <c r="E9" s="1902" t="s">
        <v>407</v>
      </c>
      <c r="F9" s="1534">
        <v>549</v>
      </c>
      <c r="G9" s="1534">
        <v>2304</v>
      </c>
      <c r="H9" s="474"/>
      <c r="I9" s="385" t="s">
        <v>85</v>
      </c>
      <c r="J9" s="2208" t="s">
        <v>408</v>
      </c>
      <c r="K9" s="2208"/>
      <c r="L9" s="1903">
        <v>250198000</v>
      </c>
      <c r="M9" s="1901">
        <v>250198000</v>
      </c>
    </row>
    <row r="10" spans="1:13">
      <c r="A10" s="386"/>
      <c r="B10" s="384"/>
      <c r="C10" s="387" t="s">
        <v>409</v>
      </c>
      <c r="D10" s="384" t="s">
        <v>406</v>
      </c>
      <c r="E10" s="389" t="s">
        <v>410</v>
      </c>
      <c r="F10" s="1534">
        <v>10281</v>
      </c>
      <c r="G10" s="1534">
        <v>8860</v>
      </c>
      <c r="H10" s="474"/>
      <c r="I10" s="390" t="s">
        <v>185</v>
      </c>
      <c r="J10" s="2207" t="s">
        <v>411</v>
      </c>
      <c r="K10" s="2207"/>
      <c r="L10" s="1903">
        <v>2474222000</v>
      </c>
      <c r="M10" s="1901">
        <v>2852252000</v>
      </c>
    </row>
    <row r="11" spans="1:13">
      <c r="A11" s="386"/>
      <c r="B11" s="384"/>
      <c r="C11" s="389"/>
      <c r="D11" s="389"/>
      <c r="E11" s="1653" t="s">
        <v>412</v>
      </c>
      <c r="F11" s="1654">
        <f>SUM(F9:F10)</f>
        <v>10830</v>
      </c>
      <c r="G11" s="1654">
        <f>SUM(G9:G10)</f>
        <v>11164</v>
      </c>
      <c r="H11" s="475"/>
      <c r="I11" s="390" t="s">
        <v>413</v>
      </c>
      <c r="J11" s="2209" t="s">
        <v>414</v>
      </c>
      <c r="K11" s="2209"/>
      <c r="L11" s="1903">
        <v>-104143000</v>
      </c>
      <c r="M11" s="1901">
        <v>596465000</v>
      </c>
    </row>
    <row r="12" spans="1:13">
      <c r="A12" s="386"/>
      <c r="B12" s="384" t="s">
        <v>183</v>
      </c>
      <c r="C12" s="2205" t="s">
        <v>415</v>
      </c>
      <c r="D12" s="2205"/>
      <c r="E12" s="2205"/>
      <c r="F12" s="1533"/>
      <c r="G12" s="1533"/>
      <c r="H12" s="2210" t="s">
        <v>416</v>
      </c>
      <c r="I12" s="2211"/>
      <c r="J12" s="2211"/>
      <c r="K12" s="2211"/>
      <c r="L12" s="1904">
        <f>SUM(L7:L11)</f>
        <v>9390704000</v>
      </c>
      <c r="M12" s="1905">
        <f>SUM(M7:M11)</f>
        <v>10972334000</v>
      </c>
    </row>
    <row r="13" spans="1:13">
      <c r="A13" s="386"/>
      <c r="B13" s="384"/>
      <c r="C13" s="387" t="s">
        <v>417</v>
      </c>
      <c r="D13" s="384" t="s">
        <v>398</v>
      </c>
      <c r="E13" s="389" t="s">
        <v>418</v>
      </c>
      <c r="F13" s="1533">
        <v>495721</v>
      </c>
      <c r="G13" s="1655">
        <f>+'19.'!H206+'19.'!H232+'19.'!H268+'19.'!H300</f>
        <v>490598183</v>
      </c>
      <c r="H13" s="391" t="s">
        <v>419</v>
      </c>
      <c r="I13" s="2212" t="s">
        <v>420</v>
      </c>
      <c r="J13" s="2212"/>
      <c r="K13" s="2212"/>
      <c r="L13" s="1903"/>
      <c r="M13" s="1901"/>
    </row>
    <row r="14" spans="1:13">
      <c r="A14" s="386"/>
      <c r="B14" s="384"/>
      <c r="C14" s="387"/>
      <c r="D14" s="384"/>
      <c r="E14" s="389" t="s">
        <v>421</v>
      </c>
      <c r="F14" s="1533"/>
      <c r="G14" s="1656"/>
      <c r="H14" s="473"/>
      <c r="I14" s="385" t="s">
        <v>176</v>
      </c>
      <c r="J14" s="2206" t="s">
        <v>422</v>
      </c>
      <c r="K14" s="2206"/>
      <c r="L14" s="1903">
        <v>11478000</v>
      </c>
      <c r="M14" s="1901">
        <v>9648000</v>
      </c>
    </row>
    <row r="15" spans="1:13">
      <c r="A15" s="386"/>
      <c r="B15" s="384"/>
      <c r="C15" s="387"/>
      <c r="D15" s="384" t="s">
        <v>406</v>
      </c>
      <c r="E15" s="389" t="s">
        <v>423</v>
      </c>
      <c r="F15" s="1533">
        <v>4392272</v>
      </c>
      <c r="G15" s="1656">
        <v>5063522000</v>
      </c>
      <c r="H15" s="474"/>
      <c r="I15" s="385" t="s">
        <v>183</v>
      </c>
      <c r="J15" s="2206" t="s">
        <v>424</v>
      </c>
      <c r="K15" s="2206"/>
      <c r="L15" s="1903">
        <v>52808000</v>
      </c>
      <c r="M15" s="1901">
        <v>51763000</v>
      </c>
    </row>
    <row r="16" spans="1:13">
      <c r="A16" s="386"/>
      <c r="B16" s="384"/>
      <c r="C16" s="387"/>
      <c r="D16" s="384" t="s">
        <v>425</v>
      </c>
      <c r="E16" s="389" t="s">
        <v>426</v>
      </c>
      <c r="F16" s="1533">
        <v>2178826</v>
      </c>
      <c r="G16" s="1656">
        <f>+'19.'!H1257</f>
        <v>2143545527</v>
      </c>
      <c r="H16" s="475"/>
      <c r="I16" s="392" t="s">
        <v>85</v>
      </c>
      <c r="J16" s="2207" t="s">
        <v>427</v>
      </c>
      <c r="K16" s="2207"/>
      <c r="L16" s="1903">
        <v>36382000</v>
      </c>
      <c r="M16" s="1901">
        <v>199763000</v>
      </c>
    </row>
    <row r="17" spans="1:13">
      <c r="A17" s="386"/>
      <c r="B17" s="384"/>
      <c r="C17" s="387"/>
      <c r="D17" s="384" t="s">
        <v>454</v>
      </c>
      <c r="E17" s="389" t="s">
        <v>1648</v>
      </c>
      <c r="F17" s="1533"/>
      <c r="G17" s="1659">
        <v>0</v>
      </c>
      <c r="H17" s="1529"/>
      <c r="I17" s="385"/>
      <c r="J17" s="539"/>
      <c r="K17" s="1728"/>
      <c r="L17" s="1906"/>
      <c r="M17" s="1901"/>
    </row>
    <row r="18" spans="1:13">
      <c r="A18" s="386"/>
      <c r="B18" s="384"/>
      <c r="C18" s="387"/>
      <c r="D18" s="387"/>
      <c r="E18" s="389" t="s">
        <v>421</v>
      </c>
      <c r="F18" s="1533"/>
      <c r="G18" s="1659">
        <v>0</v>
      </c>
      <c r="H18" s="2210" t="s">
        <v>428</v>
      </c>
      <c r="I18" s="2211"/>
      <c r="J18" s="2211"/>
      <c r="K18" s="2211"/>
      <c r="L18" s="1905">
        <f>SUM(L14:L16)</f>
        <v>100668000</v>
      </c>
      <c r="M18" s="1905">
        <f>SUM(M14:M16)</f>
        <v>261174000</v>
      </c>
    </row>
    <row r="19" spans="1:13">
      <c r="A19" s="386"/>
      <c r="B19" s="384"/>
      <c r="C19" s="393" t="s">
        <v>429</v>
      </c>
      <c r="D19" s="394" t="s">
        <v>398</v>
      </c>
      <c r="E19" s="113" t="s">
        <v>430</v>
      </c>
      <c r="F19" s="1533"/>
      <c r="G19" s="1655">
        <f>+'19.'!H307</f>
        <v>3429140</v>
      </c>
      <c r="H19" s="1530"/>
      <c r="I19" s="536"/>
      <c r="J19" s="536"/>
      <c r="K19"/>
      <c r="L19" s="1907"/>
      <c r="M19" s="1908">
        <v>0</v>
      </c>
    </row>
    <row r="20" spans="1:13">
      <c r="A20" s="386"/>
      <c r="B20" s="384"/>
      <c r="C20" s="387"/>
      <c r="D20" s="384" t="s">
        <v>406</v>
      </c>
      <c r="E20" s="389" t="s">
        <v>431</v>
      </c>
      <c r="F20" s="1533">
        <v>205023</v>
      </c>
      <c r="G20" s="1656">
        <f>+'19.'!H19+'19.'!H70+'19.'!H104+'19.'!H149+'19.'!H742+'19.'!H1272</f>
        <v>346395445</v>
      </c>
      <c r="H20" s="1909" t="s">
        <v>432</v>
      </c>
      <c r="I20" s="2213" t="s">
        <v>433</v>
      </c>
      <c r="J20" s="2214"/>
      <c r="K20" s="2215"/>
      <c r="L20" s="1910">
        <v>0</v>
      </c>
      <c r="M20" s="1910">
        <v>0</v>
      </c>
    </row>
    <row r="21" spans="1:13">
      <c r="A21" s="386"/>
      <c r="B21" s="384"/>
      <c r="C21" s="387"/>
      <c r="D21" s="384" t="s">
        <v>425</v>
      </c>
      <c r="E21" s="389" t="s">
        <v>1649</v>
      </c>
      <c r="F21" s="1533"/>
      <c r="G21" s="1656">
        <v>0</v>
      </c>
      <c r="H21" s="476"/>
      <c r="I21" s="535"/>
      <c r="J21" s="535"/>
      <c r="K21" s="1731"/>
      <c r="L21" s="538"/>
      <c r="M21" s="1908"/>
    </row>
    <row r="22" spans="1:13">
      <c r="A22" s="386"/>
      <c r="B22" s="384"/>
      <c r="C22" s="387"/>
      <c r="D22" s="384" t="s">
        <v>454</v>
      </c>
      <c r="E22" s="389" t="s">
        <v>1648</v>
      </c>
      <c r="F22" s="1533"/>
      <c r="G22" s="1659">
        <v>0</v>
      </c>
      <c r="H22" s="476"/>
      <c r="I22" s="535"/>
      <c r="J22" s="535"/>
      <c r="K22" s="1731"/>
      <c r="L22" s="1907"/>
      <c r="M22" s="1908"/>
    </row>
    <row r="23" spans="1:13">
      <c r="A23" s="386"/>
      <c r="B23" s="384"/>
      <c r="C23" s="387"/>
      <c r="D23" s="387"/>
      <c r="E23" s="389" t="s">
        <v>421</v>
      </c>
      <c r="F23" s="1533"/>
      <c r="G23" s="1659">
        <v>0</v>
      </c>
      <c r="H23" s="1530"/>
      <c r="I23" s="536"/>
      <c r="J23" s="536"/>
      <c r="K23" s="537"/>
      <c r="L23" s="1907"/>
      <c r="M23" s="1908"/>
    </row>
    <row r="24" spans="1:13">
      <c r="A24" s="386"/>
      <c r="B24" s="384"/>
      <c r="C24" s="387" t="s">
        <v>1650</v>
      </c>
      <c r="D24" s="384" t="s">
        <v>398</v>
      </c>
      <c r="E24" s="389" t="s">
        <v>1651</v>
      </c>
      <c r="F24" s="1533"/>
      <c r="G24" s="1659">
        <v>0</v>
      </c>
      <c r="H24" s="1530"/>
      <c r="I24" s="536"/>
      <c r="J24" s="536"/>
      <c r="K24" s="537"/>
      <c r="L24" s="1907"/>
      <c r="M24" s="1908"/>
    </row>
    <row r="25" spans="1:13">
      <c r="A25" s="386"/>
      <c r="B25" s="384"/>
      <c r="C25" s="387"/>
      <c r="D25" s="384" t="s">
        <v>406</v>
      </c>
      <c r="E25" s="389" t="s">
        <v>1652</v>
      </c>
      <c r="F25" s="1533"/>
      <c r="G25" s="1659">
        <v>0</v>
      </c>
      <c r="H25" s="1530"/>
      <c r="I25" s="536"/>
      <c r="J25" s="536"/>
      <c r="K25" s="537"/>
      <c r="L25" s="1907"/>
      <c r="M25" s="1908"/>
    </row>
    <row r="26" spans="1:13">
      <c r="A26" s="386"/>
      <c r="B26" s="384"/>
      <c r="C26" s="387"/>
      <c r="D26" s="384" t="s">
        <v>425</v>
      </c>
      <c r="E26" s="389" t="s">
        <v>1653</v>
      </c>
      <c r="F26" s="1533"/>
      <c r="G26" s="1659">
        <v>0</v>
      </c>
      <c r="H26" s="1530"/>
      <c r="I26" s="536"/>
      <c r="J26" s="536"/>
      <c r="K26" s="537"/>
      <c r="L26" s="1907"/>
      <c r="M26" s="1908"/>
    </row>
    <row r="27" spans="1:13">
      <c r="A27" s="386"/>
      <c r="B27" s="384"/>
      <c r="C27" s="387"/>
      <c r="D27" s="384" t="s">
        <v>454</v>
      </c>
      <c r="E27" s="389" t="s">
        <v>1648</v>
      </c>
      <c r="F27" s="1533"/>
      <c r="G27" s="1659">
        <v>0</v>
      </c>
      <c r="H27" s="1530"/>
      <c r="I27" s="536"/>
      <c r="J27" s="536"/>
      <c r="K27" s="537"/>
      <c r="L27" s="1907"/>
      <c r="M27" s="1908"/>
    </row>
    <row r="28" spans="1:13">
      <c r="A28" s="386"/>
      <c r="B28" s="384"/>
      <c r="C28" s="387" t="s">
        <v>434</v>
      </c>
      <c r="D28" s="384" t="s">
        <v>398</v>
      </c>
      <c r="E28" s="389" t="s">
        <v>1654</v>
      </c>
      <c r="F28" s="1533"/>
      <c r="G28" s="1659">
        <v>0</v>
      </c>
      <c r="H28" s="1530"/>
      <c r="I28" s="536"/>
      <c r="J28" s="536"/>
      <c r="K28" s="537"/>
      <c r="L28" s="1907"/>
      <c r="M28" s="1908"/>
    </row>
    <row r="29" spans="1:13">
      <c r="A29" s="386"/>
      <c r="B29" s="384"/>
      <c r="C29" s="387"/>
      <c r="D29" s="384" t="s">
        <v>406</v>
      </c>
      <c r="E29" s="389" t="s">
        <v>435</v>
      </c>
      <c r="F29" s="1533">
        <v>146782</v>
      </c>
      <c r="G29" s="1656">
        <f>+'19.'!H728</f>
        <v>472837130</v>
      </c>
      <c r="H29" s="1909" t="s">
        <v>436</v>
      </c>
      <c r="I29" s="2213" t="s">
        <v>437</v>
      </c>
      <c r="J29" s="2214"/>
      <c r="K29" s="2214"/>
      <c r="L29" s="1905">
        <v>1996568000</v>
      </c>
      <c r="M29" s="1905">
        <v>1640713000</v>
      </c>
    </row>
    <row r="30" spans="1:13">
      <c r="A30" s="386"/>
      <c r="B30" s="384"/>
      <c r="C30" s="387"/>
      <c r="D30" s="384" t="s">
        <v>425</v>
      </c>
      <c r="E30" s="389" t="s">
        <v>1655</v>
      </c>
      <c r="F30" s="1533"/>
      <c r="G30" s="1659">
        <v>0</v>
      </c>
      <c r="H30" s="476"/>
      <c r="I30" s="535"/>
      <c r="J30" s="535"/>
      <c r="K30" s="1729"/>
      <c r="L30" s="1907"/>
      <c r="M30" s="1908"/>
    </row>
    <row r="31" spans="1:13">
      <c r="A31" s="386"/>
      <c r="B31" s="384"/>
      <c r="C31" s="387"/>
      <c r="D31" s="384" t="s">
        <v>454</v>
      </c>
      <c r="E31" s="389" t="s">
        <v>1648</v>
      </c>
      <c r="F31" s="1533"/>
      <c r="G31" s="1659">
        <v>0</v>
      </c>
      <c r="H31" s="476"/>
      <c r="I31" s="535"/>
      <c r="J31" s="535"/>
      <c r="K31" s="1729"/>
      <c r="L31" s="1907"/>
      <c r="M31" s="1908"/>
    </row>
    <row r="32" spans="1:13">
      <c r="A32" s="386"/>
      <c r="B32" s="384"/>
      <c r="C32" s="387"/>
      <c r="D32" s="384"/>
      <c r="E32" s="389" t="s">
        <v>421</v>
      </c>
      <c r="F32" s="1533"/>
      <c r="G32" s="1659">
        <v>0</v>
      </c>
      <c r="H32" s="476"/>
      <c r="I32" s="535"/>
      <c r="J32" s="535"/>
      <c r="K32" s="1729"/>
      <c r="L32" s="1907"/>
      <c r="M32" s="1908"/>
    </row>
    <row r="33" spans="1:13">
      <c r="A33" s="386"/>
      <c r="B33" s="384"/>
      <c r="C33" s="387" t="s">
        <v>1656</v>
      </c>
      <c r="D33" s="384" t="s">
        <v>398</v>
      </c>
      <c r="E33" s="389" t="s">
        <v>1657</v>
      </c>
      <c r="F33" s="1533"/>
      <c r="G33" s="1659">
        <v>0</v>
      </c>
      <c r="H33" s="476"/>
      <c r="I33" s="535"/>
      <c r="J33" s="535"/>
      <c r="K33" s="1729"/>
      <c r="L33" s="1907"/>
      <c r="M33" s="1908"/>
    </row>
    <row r="34" spans="1:13">
      <c r="A34" s="386"/>
      <c r="B34" s="384"/>
      <c r="C34" s="387"/>
      <c r="D34" s="384" t="s">
        <v>406</v>
      </c>
      <c r="E34" s="389" t="s">
        <v>1658</v>
      </c>
      <c r="F34" s="1533"/>
      <c r="G34" s="1659">
        <v>0</v>
      </c>
      <c r="H34" s="476"/>
      <c r="I34" s="535"/>
      <c r="J34" s="535"/>
      <c r="K34" s="1729"/>
      <c r="L34" s="1907"/>
      <c r="M34" s="1908"/>
    </row>
    <row r="35" spans="1:13">
      <c r="A35" s="386"/>
      <c r="B35" s="384"/>
      <c r="C35" s="387"/>
      <c r="D35" s="384" t="s">
        <v>425</v>
      </c>
      <c r="E35" s="389" t="s">
        <v>1659</v>
      </c>
      <c r="F35" s="1533"/>
      <c r="G35" s="1659">
        <v>0</v>
      </c>
      <c r="H35" s="476"/>
      <c r="I35" s="535"/>
      <c r="J35" s="535"/>
      <c r="K35" s="1729"/>
      <c r="L35" s="1907"/>
      <c r="M35" s="1908"/>
    </row>
    <row r="36" spans="1:13">
      <c r="A36" s="386"/>
      <c r="B36" s="384"/>
      <c r="C36" s="387"/>
      <c r="D36" s="384" t="s">
        <v>454</v>
      </c>
      <c r="E36" s="389" t="s">
        <v>1648</v>
      </c>
      <c r="F36" s="1533"/>
      <c r="G36" s="1659">
        <v>0</v>
      </c>
      <c r="H36" s="1529"/>
      <c r="I36" s="390"/>
      <c r="J36" s="390"/>
      <c r="K36" s="395"/>
      <c r="L36" s="1911"/>
      <c r="M36" s="1901"/>
    </row>
    <row r="37" spans="1:13">
      <c r="A37" s="386"/>
      <c r="B37" s="384"/>
      <c r="C37" s="389"/>
      <c r="D37" s="389"/>
      <c r="E37" s="1653" t="s">
        <v>438</v>
      </c>
      <c r="F37" s="1654">
        <f>SUM(F13:F36)</f>
        <v>7418624</v>
      </c>
      <c r="G37" s="1912">
        <f>SUM(G13:G36)</f>
        <v>8520327425</v>
      </c>
      <c r="H37" s="476"/>
      <c r="I37" s="535"/>
      <c r="J37" s="535"/>
      <c r="K37" s="1729"/>
      <c r="L37" s="1913"/>
      <c r="M37" s="1901"/>
    </row>
    <row r="38" spans="1:13">
      <c r="A38" s="386"/>
      <c r="B38" s="384" t="s">
        <v>85</v>
      </c>
      <c r="C38" s="2216" t="s">
        <v>439</v>
      </c>
      <c r="D38" s="2216"/>
      <c r="E38" s="2216"/>
      <c r="F38" s="1533"/>
      <c r="G38" s="1656"/>
      <c r="H38" s="1529"/>
      <c r="I38" s="390"/>
      <c r="J38" s="390"/>
      <c r="K38" s="540"/>
      <c r="L38" s="541"/>
      <c r="M38" s="1914"/>
    </row>
    <row r="39" spans="1:13">
      <c r="A39" s="386"/>
      <c r="B39" s="384"/>
      <c r="C39" s="387" t="s">
        <v>440</v>
      </c>
      <c r="D39" s="396" t="s">
        <v>398</v>
      </c>
      <c r="E39" s="389" t="s">
        <v>441</v>
      </c>
      <c r="F39" s="1533">
        <v>0</v>
      </c>
      <c r="G39" s="1533">
        <v>0</v>
      </c>
      <c r="H39" s="1529"/>
      <c r="I39" s="390"/>
      <c r="J39" s="390"/>
      <c r="K39" s="540"/>
      <c r="L39" s="1911"/>
      <c r="M39" s="1901"/>
    </row>
    <row r="40" spans="1:13">
      <c r="A40" s="386"/>
      <c r="B40" s="384"/>
      <c r="C40" s="387"/>
      <c r="D40" s="396" t="s">
        <v>406</v>
      </c>
      <c r="E40" s="389" t="s">
        <v>442</v>
      </c>
      <c r="F40" s="1533">
        <v>68</v>
      </c>
      <c r="G40" s="1533">
        <v>68</v>
      </c>
      <c r="H40" s="1529"/>
      <c r="I40" s="390"/>
      <c r="J40" s="390"/>
      <c r="K40" s="540"/>
      <c r="L40" s="1911"/>
      <c r="M40" s="1901"/>
    </row>
    <row r="41" spans="1:13">
      <c r="A41" s="386"/>
      <c r="B41" s="384"/>
      <c r="C41" s="387"/>
      <c r="D41" s="396" t="s">
        <v>425</v>
      </c>
      <c r="E41" s="389" t="s">
        <v>1660</v>
      </c>
      <c r="F41" s="1533">
        <v>0</v>
      </c>
      <c r="G41" s="1533">
        <v>0</v>
      </c>
      <c r="H41" s="1529"/>
      <c r="I41" s="390"/>
      <c r="J41" s="390"/>
      <c r="K41" s="540"/>
      <c r="L41" s="1911"/>
      <c r="M41" s="1901"/>
    </row>
    <row r="42" spans="1:13">
      <c r="A42" s="386"/>
      <c r="B42" s="384"/>
      <c r="C42" s="387"/>
      <c r="D42" s="396" t="s">
        <v>454</v>
      </c>
      <c r="E42" s="389" t="s">
        <v>1648</v>
      </c>
      <c r="F42" s="1533">
        <v>0</v>
      </c>
      <c r="G42" s="1533">
        <v>0</v>
      </c>
      <c r="H42" s="1529"/>
      <c r="I42" s="390"/>
      <c r="J42" s="390"/>
      <c r="K42" s="540"/>
      <c r="L42" s="1911"/>
      <c r="M42" s="1901"/>
    </row>
    <row r="43" spans="1:13">
      <c r="A43" s="386"/>
      <c r="B43" s="384"/>
      <c r="C43" s="387" t="s">
        <v>1661</v>
      </c>
      <c r="D43" s="396" t="s">
        <v>398</v>
      </c>
      <c r="E43" s="389" t="s">
        <v>1662</v>
      </c>
      <c r="F43" s="1533">
        <v>0</v>
      </c>
      <c r="G43" s="1533">
        <v>0</v>
      </c>
      <c r="H43" s="1529"/>
      <c r="I43" s="390"/>
      <c r="J43" s="390"/>
      <c r="K43" s="540"/>
      <c r="L43" s="1911"/>
      <c r="M43" s="1901"/>
    </row>
    <row r="44" spans="1:13">
      <c r="A44" s="386"/>
      <c r="B44" s="384"/>
      <c r="C44" s="387"/>
      <c r="D44" s="396" t="s">
        <v>406</v>
      </c>
      <c r="E44" s="389" t="s">
        <v>1663</v>
      </c>
      <c r="F44" s="1533">
        <v>0</v>
      </c>
      <c r="G44" s="1533">
        <v>0</v>
      </c>
      <c r="H44" s="1529"/>
      <c r="I44" s="390"/>
      <c r="J44" s="390"/>
      <c r="K44" s="540"/>
      <c r="L44" s="1911"/>
      <c r="M44" s="1901"/>
    </row>
    <row r="45" spans="1:13">
      <c r="A45" s="386"/>
      <c r="B45" s="384"/>
      <c r="C45" s="387"/>
      <c r="D45" s="396" t="s">
        <v>425</v>
      </c>
      <c r="E45" s="389" t="s">
        <v>1664</v>
      </c>
      <c r="F45" s="1533">
        <v>0</v>
      </c>
      <c r="G45" s="1533">
        <v>0</v>
      </c>
      <c r="H45" s="1529"/>
      <c r="I45" s="390"/>
      <c r="J45" s="390"/>
      <c r="K45" s="540"/>
      <c r="L45" s="1911"/>
      <c r="M45" s="1901"/>
    </row>
    <row r="46" spans="1:13">
      <c r="A46" s="386"/>
      <c r="B46" s="384"/>
      <c r="C46" s="387"/>
      <c r="D46" s="396" t="s">
        <v>454</v>
      </c>
      <c r="E46" s="389" t="s">
        <v>1648</v>
      </c>
      <c r="F46" s="1533">
        <v>0</v>
      </c>
      <c r="G46" s="1533">
        <v>0</v>
      </c>
      <c r="H46" s="1529"/>
      <c r="I46" s="390"/>
      <c r="J46" s="390"/>
      <c r="K46" s="540"/>
      <c r="L46" s="1911"/>
      <c r="M46" s="1901"/>
    </row>
    <row r="47" spans="1:13">
      <c r="A47" s="386"/>
      <c r="B47" s="384"/>
      <c r="C47" s="387" t="s">
        <v>1665</v>
      </c>
      <c r="D47" s="396" t="s">
        <v>398</v>
      </c>
      <c r="E47" s="389" t="s">
        <v>1666</v>
      </c>
      <c r="F47" s="1533">
        <v>0</v>
      </c>
      <c r="G47" s="1533">
        <v>0</v>
      </c>
      <c r="H47" s="1529"/>
      <c r="I47" s="390"/>
      <c r="J47" s="390"/>
      <c r="K47" s="540"/>
      <c r="L47" s="1911"/>
      <c r="M47" s="1901"/>
    </row>
    <row r="48" spans="1:13">
      <c r="A48" s="386"/>
      <c r="B48" s="384"/>
      <c r="C48" s="387"/>
      <c r="D48" s="396" t="s">
        <v>406</v>
      </c>
      <c r="E48" s="389" t="s">
        <v>1667</v>
      </c>
      <c r="F48" s="1533">
        <v>0</v>
      </c>
      <c r="G48" s="1533">
        <v>0</v>
      </c>
      <c r="H48" s="1529"/>
      <c r="I48" s="390"/>
      <c r="J48" s="390"/>
      <c r="K48" s="540"/>
      <c r="L48" s="1911"/>
      <c r="M48" s="1901"/>
    </row>
    <row r="49" spans="1:13">
      <c r="A49" s="386"/>
      <c r="B49" s="384"/>
      <c r="C49" s="387"/>
      <c r="D49" s="396" t="s">
        <v>425</v>
      </c>
      <c r="E49" s="389" t="s">
        <v>1668</v>
      </c>
      <c r="F49" s="1533">
        <v>0</v>
      </c>
      <c r="G49" s="1533">
        <v>0</v>
      </c>
      <c r="H49" s="1529"/>
      <c r="I49" s="390"/>
      <c r="J49" s="390"/>
      <c r="K49" s="540"/>
      <c r="L49" s="1911"/>
      <c r="M49" s="1901"/>
    </row>
    <row r="50" spans="1:13">
      <c r="A50" s="386"/>
      <c r="B50" s="384"/>
      <c r="C50" s="387"/>
      <c r="D50" s="396" t="s">
        <v>454</v>
      </c>
      <c r="E50" s="389" t="s">
        <v>1648</v>
      </c>
      <c r="F50" s="1533">
        <v>0</v>
      </c>
      <c r="G50" s="1533">
        <v>0</v>
      </c>
      <c r="H50" s="1529"/>
      <c r="I50" s="390"/>
      <c r="J50" s="390"/>
      <c r="K50" s="540"/>
      <c r="L50" s="1911"/>
      <c r="M50" s="1901"/>
    </row>
    <row r="51" spans="1:13">
      <c r="A51" s="386"/>
      <c r="B51" s="384"/>
      <c r="C51" s="389"/>
      <c r="D51" s="389"/>
      <c r="E51" s="1653" t="s">
        <v>443</v>
      </c>
      <c r="F51" s="1654">
        <f>SUM(F39:F50)</f>
        <v>68</v>
      </c>
      <c r="G51" s="1654">
        <f>SUM(G39:G50)</f>
        <v>68</v>
      </c>
      <c r="H51" s="1529"/>
      <c r="I51" s="390"/>
      <c r="J51" s="390"/>
      <c r="K51" s="540"/>
      <c r="L51" s="1911"/>
      <c r="M51" s="1901"/>
    </row>
    <row r="52" spans="1:13">
      <c r="A52" s="386"/>
      <c r="B52" s="384" t="s">
        <v>185</v>
      </c>
      <c r="C52" s="2216" t="s">
        <v>444</v>
      </c>
      <c r="D52" s="2216"/>
      <c r="E52" s="2216"/>
      <c r="F52" s="1533"/>
      <c r="G52" s="1656"/>
      <c r="H52" s="1529"/>
      <c r="I52" s="390"/>
      <c r="J52" s="390"/>
      <c r="K52" s="540"/>
      <c r="L52" s="1911"/>
      <c r="M52" s="1901"/>
    </row>
    <row r="53" spans="1:13">
      <c r="A53" s="386"/>
      <c r="B53" s="384"/>
      <c r="C53" s="389" t="s">
        <v>445</v>
      </c>
      <c r="D53" s="384" t="s">
        <v>398</v>
      </c>
      <c r="E53" s="389" t="s">
        <v>446</v>
      </c>
      <c r="F53" s="1533"/>
      <c r="G53" s="1656">
        <f>+'19.'!H1290</f>
        <v>1626504</v>
      </c>
      <c r="H53" s="1529"/>
      <c r="I53" s="390"/>
      <c r="J53" s="390"/>
      <c r="K53" s="540"/>
      <c r="L53" s="1911"/>
      <c r="M53" s="1901"/>
    </row>
    <row r="54" spans="1:13">
      <c r="A54" s="386"/>
      <c r="B54" s="384"/>
      <c r="C54" s="389"/>
      <c r="D54" s="384" t="s">
        <v>406</v>
      </c>
      <c r="E54" s="389" t="s">
        <v>447</v>
      </c>
      <c r="F54" s="1533"/>
      <c r="G54" s="1656" cm="1">
        <f t="array" ref="G54:H54">+'19.'!G1285:H1285+'19.'!H1289+'19.'!H1291+'19.'!H1296</f>
        <v>304408102</v>
      </c>
      <c r="H54" s="1529">
        <v>302630657</v>
      </c>
      <c r="I54" s="390"/>
      <c r="J54" s="390"/>
      <c r="K54" s="540"/>
      <c r="L54" s="1911"/>
      <c r="M54" s="1901"/>
    </row>
    <row r="55" spans="1:13">
      <c r="A55" s="2217" t="s">
        <v>448</v>
      </c>
      <c r="B55" s="2217"/>
      <c r="C55" s="2217"/>
      <c r="D55" s="2217"/>
      <c r="E55" s="2217"/>
      <c r="F55" s="1654">
        <f>F11+F37+F51</f>
        <v>7429522</v>
      </c>
      <c r="G55" s="1912">
        <f>G11+G37+G51+G53+G54</f>
        <v>8826373263</v>
      </c>
      <c r="H55" s="1531"/>
      <c r="I55" s="390"/>
      <c r="J55" s="390"/>
      <c r="K55" s="540"/>
      <c r="L55" s="1911"/>
      <c r="M55" s="1901"/>
    </row>
    <row r="56" spans="1:13">
      <c r="A56" s="1915" t="s">
        <v>406</v>
      </c>
      <c r="B56" s="2216" t="s">
        <v>449</v>
      </c>
      <c r="C56" s="2216"/>
      <c r="D56" s="2216"/>
      <c r="E56" s="2216"/>
      <c r="F56" s="1533"/>
      <c r="G56" s="1656"/>
      <c r="H56" s="1529"/>
      <c r="I56" s="390"/>
      <c r="J56" s="390"/>
      <c r="K56" s="540"/>
      <c r="L56" s="1911"/>
      <c r="M56" s="1901"/>
    </row>
    <row r="57" spans="1:13">
      <c r="A57" s="383"/>
      <c r="B57" s="384" t="s">
        <v>176</v>
      </c>
      <c r="C57" s="389"/>
      <c r="D57" s="398"/>
      <c r="E57" s="389" t="s">
        <v>450</v>
      </c>
      <c r="F57" s="1533">
        <v>2180</v>
      </c>
      <c r="G57" s="1656">
        <v>4206000</v>
      </c>
      <c r="H57" s="1529"/>
      <c r="I57" s="390"/>
      <c r="J57" s="390"/>
      <c r="K57" s="540"/>
      <c r="L57" s="1911"/>
      <c r="M57" s="1901"/>
    </row>
    <row r="58" spans="1:13">
      <c r="A58" s="397"/>
      <c r="B58" s="384" t="s">
        <v>183</v>
      </c>
      <c r="C58" s="389"/>
      <c r="D58" s="399"/>
      <c r="E58" s="389" t="s">
        <v>451</v>
      </c>
      <c r="F58" s="1533">
        <v>0</v>
      </c>
      <c r="G58" s="1656">
        <v>0</v>
      </c>
      <c r="H58" s="1529"/>
      <c r="I58" s="390"/>
      <c r="J58" s="390"/>
      <c r="K58" s="540"/>
      <c r="L58" s="1911"/>
      <c r="M58" s="1901"/>
    </row>
    <row r="59" spans="1:13">
      <c r="A59" s="2217" t="s">
        <v>452</v>
      </c>
      <c r="B59" s="2217"/>
      <c r="C59" s="2217"/>
      <c r="D59" s="2217"/>
      <c r="E59" s="2217"/>
      <c r="F59" s="1654">
        <f>SUM(F57:F58)</f>
        <v>2180</v>
      </c>
      <c r="G59" s="1912">
        <f>SUM(G57:G58)</f>
        <v>4206000</v>
      </c>
      <c r="H59" s="1531"/>
      <c r="I59" s="390"/>
      <c r="J59" s="390"/>
      <c r="K59" s="540"/>
      <c r="L59" s="1911"/>
      <c r="M59" s="1901"/>
    </row>
    <row r="60" spans="1:13">
      <c r="A60" s="1916" t="s">
        <v>425</v>
      </c>
      <c r="B60" s="2218" t="s">
        <v>453</v>
      </c>
      <c r="C60" s="2218"/>
      <c r="D60" s="2218"/>
      <c r="E60" s="2218"/>
      <c r="F60" s="1917">
        <v>3277103</v>
      </c>
      <c r="G60" s="1918">
        <f>SUM(G61:G63)</f>
        <v>3241400000</v>
      </c>
      <c r="H60" s="1531"/>
      <c r="I60" s="390"/>
      <c r="J60" s="390"/>
      <c r="K60" s="540"/>
      <c r="L60" s="1911"/>
      <c r="M60" s="1901"/>
    </row>
    <row r="61" spans="1:13">
      <c r="A61" s="1915"/>
      <c r="B61" s="1727" t="s">
        <v>176</v>
      </c>
      <c r="C61" s="1727"/>
      <c r="D61" s="1727"/>
      <c r="E61" s="1727" t="s">
        <v>1669</v>
      </c>
      <c r="F61" s="1658">
        <v>2981843000</v>
      </c>
      <c r="G61" s="1658">
        <v>3208372000</v>
      </c>
      <c r="H61" s="1531"/>
      <c r="I61" s="390"/>
      <c r="J61" s="390"/>
      <c r="K61" s="540"/>
      <c r="L61" s="1911"/>
      <c r="M61" s="1901"/>
    </row>
    <row r="62" spans="1:13">
      <c r="A62" s="1915"/>
      <c r="B62" s="1727" t="s">
        <v>183</v>
      </c>
      <c r="C62" s="1727"/>
      <c r="D62" s="1727"/>
      <c r="E62" s="1727" t="s">
        <v>1670</v>
      </c>
      <c r="F62" s="471">
        <v>261</v>
      </c>
      <c r="G62" s="1658">
        <v>242000</v>
      </c>
      <c r="H62" s="1531"/>
      <c r="I62" s="390"/>
      <c r="J62" s="390"/>
      <c r="K62" s="540"/>
      <c r="L62" s="1911"/>
      <c r="M62" s="1901"/>
    </row>
    <row r="63" spans="1:13">
      <c r="A63" s="1915"/>
      <c r="B63" s="1727" t="s">
        <v>85</v>
      </c>
      <c r="C63" s="1727"/>
      <c r="D63" s="1727"/>
      <c r="E63" s="1727" t="s">
        <v>1671</v>
      </c>
      <c r="F63" s="1658">
        <v>294999000</v>
      </c>
      <c r="G63" s="1658">
        <v>32786000</v>
      </c>
      <c r="H63" s="1531"/>
      <c r="I63" s="390"/>
      <c r="J63" s="390"/>
      <c r="K63" s="540"/>
      <c r="L63" s="1911"/>
      <c r="M63" s="1901"/>
    </row>
    <row r="64" spans="1:13">
      <c r="A64" s="1915"/>
      <c r="B64" s="1727" t="s">
        <v>185</v>
      </c>
      <c r="C64" s="1727"/>
      <c r="D64" s="1727"/>
      <c r="E64" s="1727" t="s">
        <v>1672</v>
      </c>
      <c r="F64" s="471"/>
      <c r="G64" s="1658">
        <v>0</v>
      </c>
      <c r="H64" s="1531"/>
      <c r="I64" s="390"/>
      <c r="J64" s="390"/>
      <c r="K64" s="540"/>
      <c r="L64" s="1911"/>
      <c r="M64" s="1901"/>
    </row>
    <row r="65" spans="1:13">
      <c r="A65" s="1915" t="s">
        <v>454</v>
      </c>
      <c r="B65" s="2216" t="s">
        <v>455</v>
      </c>
      <c r="C65" s="2216"/>
      <c r="D65" s="2216"/>
      <c r="E65" s="2216"/>
      <c r="F65" s="1533"/>
      <c r="G65" s="1656"/>
      <c r="H65" s="1531"/>
      <c r="I65" s="390"/>
      <c r="J65" s="390"/>
      <c r="K65" s="540"/>
      <c r="L65" s="1911"/>
      <c r="M65" s="1901"/>
    </row>
    <row r="66" spans="1:13">
      <c r="A66" s="383"/>
      <c r="B66" s="400" t="s">
        <v>176</v>
      </c>
      <c r="C66" s="1727"/>
      <c r="D66" s="1730"/>
      <c r="E66" s="1902" t="s">
        <v>456</v>
      </c>
      <c r="F66" s="1533">
        <v>57447</v>
      </c>
      <c r="G66" s="1656">
        <v>97498000</v>
      </c>
      <c r="H66" s="1531"/>
      <c r="I66" s="390"/>
      <c r="J66" s="390"/>
      <c r="K66" s="540"/>
      <c r="L66" s="1911"/>
      <c r="M66" s="1901"/>
    </row>
    <row r="67" spans="1:13">
      <c r="A67" s="386"/>
      <c r="B67" s="400" t="s">
        <v>183</v>
      </c>
      <c r="C67" s="1727"/>
      <c r="D67" s="1730"/>
      <c r="E67" s="1902" t="s">
        <v>457</v>
      </c>
      <c r="F67" s="1533">
        <v>713720</v>
      </c>
      <c r="G67" s="1656">
        <v>649816000</v>
      </c>
      <c r="H67" s="1531"/>
      <c r="I67" s="390"/>
      <c r="J67" s="390"/>
      <c r="K67" s="540"/>
      <c r="L67" s="1911"/>
      <c r="M67" s="1901"/>
    </row>
    <row r="68" spans="1:13">
      <c r="A68" s="397"/>
      <c r="B68" s="400" t="s">
        <v>85</v>
      </c>
      <c r="C68" s="1727"/>
      <c r="D68" s="1730"/>
      <c r="E68" s="401" t="s">
        <v>458</v>
      </c>
      <c r="F68" s="1533">
        <v>6913</v>
      </c>
      <c r="G68" s="1656">
        <v>62101000</v>
      </c>
      <c r="H68" s="1531"/>
      <c r="I68" s="390"/>
      <c r="J68" s="390"/>
      <c r="K68" s="540"/>
      <c r="L68" s="1911"/>
      <c r="M68" s="1901"/>
    </row>
    <row r="69" spans="1:13">
      <c r="A69" s="1919"/>
      <c r="B69" s="2221" t="s">
        <v>459</v>
      </c>
      <c r="C69" s="2221"/>
      <c r="D69" s="2221"/>
      <c r="E69" s="2221"/>
      <c r="F69" s="1917">
        <f>SUM(F66:F68)</f>
        <v>778080</v>
      </c>
      <c r="G69" s="1918">
        <f>SUM(G66:G68)</f>
        <v>809415000</v>
      </c>
      <c r="H69" s="1531"/>
      <c r="I69" s="390"/>
      <c r="J69" s="390"/>
      <c r="K69" s="540"/>
      <c r="L69" s="1911"/>
      <c r="M69" s="1901"/>
    </row>
    <row r="70" spans="1:13">
      <c r="A70" s="1915" t="s">
        <v>460</v>
      </c>
      <c r="B70" s="2216" t="s">
        <v>461</v>
      </c>
      <c r="C70" s="2216"/>
      <c r="D70" s="2216"/>
      <c r="E70" s="2216"/>
      <c r="F70" s="1535">
        <v>1055</v>
      </c>
      <c r="G70" s="1657">
        <v>-7173000</v>
      </c>
      <c r="H70" s="1531"/>
      <c r="I70" s="390"/>
      <c r="J70" s="390"/>
      <c r="K70" s="540"/>
      <c r="L70" s="1911"/>
      <c r="M70" s="1901"/>
    </row>
    <row r="71" spans="1:13" ht="15.75" thickBot="1">
      <c r="A71" s="402" t="s">
        <v>462</v>
      </c>
      <c r="B71" s="2216" t="s">
        <v>463</v>
      </c>
      <c r="C71" s="2216"/>
      <c r="D71" s="2216"/>
      <c r="E71" s="2216"/>
      <c r="F71" s="471">
        <v>0</v>
      </c>
      <c r="G71" s="471">
        <v>0</v>
      </c>
      <c r="H71" s="1531"/>
      <c r="I71" s="390"/>
      <c r="J71" s="390"/>
      <c r="K71" s="540"/>
      <c r="L71" s="1920"/>
      <c r="M71" s="1921"/>
    </row>
    <row r="72" spans="1:13" ht="17.25" thickBot="1">
      <c r="A72" s="403"/>
      <c r="B72" s="2222" t="s">
        <v>464</v>
      </c>
      <c r="C72" s="2222"/>
      <c r="D72" s="2222"/>
      <c r="E72" s="2222"/>
      <c r="F72" s="1922">
        <f>F55+F59+F60+F69+F70</f>
        <v>11487940</v>
      </c>
      <c r="G72" s="1923">
        <f>G55+G59+G60+G69+G70</f>
        <v>12874221263</v>
      </c>
      <c r="H72" s="2219" t="s">
        <v>465</v>
      </c>
      <c r="I72" s="2219"/>
      <c r="J72" s="2219"/>
      <c r="K72" s="2220"/>
      <c r="L72" s="1924">
        <f>SUM(L12,L18,L20,L29)</f>
        <v>11487940000</v>
      </c>
      <c r="M72" s="1924">
        <f>M12+M18+M20+M29+M37</f>
        <v>12874221000</v>
      </c>
    </row>
  </sheetData>
  <mergeCells count="32">
    <mergeCell ref="H72:K72"/>
    <mergeCell ref="B65:E65"/>
    <mergeCell ref="B69:E69"/>
    <mergeCell ref="B70:E70"/>
    <mergeCell ref="B71:E71"/>
    <mergeCell ref="B72:E72"/>
    <mergeCell ref="C52:E52"/>
    <mergeCell ref="A55:E55"/>
    <mergeCell ref="B56:E56"/>
    <mergeCell ref="A59:E59"/>
    <mergeCell ref="B60:E60"/>
    <mergeCell ref="J15:K15"/>
    <mergeCell ref="J16:K16"/>
    <mergeCell ref="H18:K18"/>
    <mergeCell ref="I20:K20"/>
    <mergeCell ref="C38:E38"/>
    <mergeCell ref="I29:K29"/>
    <mergeCell ref="J11:K11"/>
    <mergeCell ref="C12:E12"/>
    <mergeCell ref="H12:K12"/>
    <mergeCell ref="I13:K13"/>
    <mergeCell ref="J14:K14"/>
    <mergeCell ref="C7:E7"/>
    <mergeCell ref="J7:K7"/>
    <mergeCell ref="J8:K8"/>
    <mergeCell ref="J9:K9"/>
    <mergeCell ref="J10:K10"/>
    <mergeCell ref="B1:M1"/>
    <mergeCell ref="B2:M2"/>
    <mergeCell ref="B3:M3"/>
    <mergeCell ref="A5:E5"/>
    <mergeCell ref="H5:K5"/>
  </mergeCells>
  <printOptions headings="1"/>
  <pageMargins left="0.70866141732283472" right="0.70866141732283472" top="0.74803149606299213" bottom="0.74803149606299213" header="0.31496062992125984" footer="0.51181102362204722"/>
  <pageSetup paperSize="9" scale="46" firstPageNumber="0" orientation="portrait" r:id="rId1"/>
  <headerFooter>
    <oddHeader>&amp;R&amp;A melléklet a /2026.(V.28.) önkormányzati rendelethez/ &amp;P.oldal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MK1360"/>
  <sheetViews>
    <sheetView zoomScaleNormal="100" workbookViewId="0">
      <selection activeCell="F1300" sqref="F1300"/>
    </sheetView>
  </sheetViews>
  <sheetFormatPr defaultColWidth="17.85546875" defaultRowHeight="15"/>
  <cols>
    <col min="1" max="7" width="17.85546875" style="404"/>
    <col min="8" max="8" width="19" style="404" customWidth="1"/>
    <col min="9" max="1025" width="17.85546875" style="404"/>
    <col min="1026" max="16384" width="17.85546875" style="1925"/>
  </cols>
  <sheetData>
    <row r="1" spans="1:9">
      <c r="I1" s="582"/>
    </row>
    <row r="2" spans="1:9">
      <c r="I2" s="583"/>
    </row>
    <row r="3" spans="1:9">
      <c r="A3" s="2372" t="s">
        <v>49</v>
      </c>
      <c r="B3" s="2358" t="s">
        <v>469</v>
      </c>
      <c r="C3" s="2349"/>
      <c r="D3" s="2349"/>
      <c r="E3" s="2349"/>
      <c r="F3" s="2349"/>
      <c r="G3" s="2349"/>
      <c r="H3" s="2359"/>
    </row>
    <row r="4" spans="1:9">
      <c r="A4" s="2373"/>
      <c r="B4" s="2360"/>
      <c r="C4" s="2361"/>
      <c r="D4" s="2361"/>
      <c r="E4" s="2361"/>
      <c r="F4" s="2361"/>
      <c r="G4" s="2361"/>
      <c r="H4" s="2362"/>
    </row>
    <row r="5" spans="1:9">
      <c r="A5" s="2282" t="s">
        <v>470</v>
      </c>
      <c r="B5" s="2283"/>
      <c r="C5" s="2283"/>
      <c r="D5" s="2283"/>
      <c r="E5" s="2283"/>
      <c r="F5" s="2283"/>
      <c r="G5" s="2283"/>
      <c r="H5" s="2284"/>
    </row>
    <row r="6" spans="1:9">
      <c r="A6" s="2381"/>
      <c r="B6" s="2351"/>
      <c r="C6" s="2351"/>
      <c r="D6" s="2351"/>
      <c r="E6" s="2351"/>
      <c r="F6" s="2351"/>
      <c r="G6" s="2351"/>
      <c r="H6" s="2382"/>
    </row>
    <row r="7" spans="1:9">
      <c r="A7" s="2285"/>
      <c r="B7" s="2286"/>
      <c r="C7" s="2286"/>
      <c r="D7" s="2286"/>
      <c r="E7" s="2286"/>
      <c r="F7" s="2286"/>
      <c r="G7" s="2286"/>
      <c r="H7" s="2287"/>
      <c r="I7" s="1925"/>
    </row>
    <row r="8" spans="1:9">
      <c r="A8" s="2262" t="s">
        <v>466</v>
      </c>
      <c r="B8" s="2258" t="s">
        <v>467</v>
      </c>
      <c r="C8" s="2259"/>
      <c r="D8" s="2259"/>
      <c r="E8" s="2256"/>
      <c r="F8" s="2262"/>
      <c r="G8" s="2258" t="s">
        <v>468</v>
      </c>
      <c r="H8" s="2256"/>
      <c r="I8" s="1925"/>
    </row>
    <row r="9" spans="1:9">
      <c r="A9" s="2263"/>
      <c r="B9" s="2260"/>
      <c r="C9" s="2261"/>
      <c r="D9" s="2261"/>
      <c r="E9" s="2257"/>
      <c r="F9" s="2263"/>
      <c r="G9" s="2260"/>
      <c r="H9" s="2257"/>
      <c r="I9" s="1925"/>
    </row>
    <row r="10" spans="1:9">
      <c r="A10" s="2308"/>
      <c r="B10" s="2355" t="s">
        <v>402</v>
      </c>
      <c r="C10" s="2356"/>
      <c r="D10" s="2356"/>
      <c r="E10" s="2356"/>
      <c r="F10" s="2357"/>
      <c r="G10" s="588"/>
      <c r="H10" s="588"/>
    </row>
    <row r="11" spans="1:9" ht="15.75" thickBot="1">
      <c r="A11" s="2309"/>
      <c r="B11" s="588"/>
      <c r="C11" s="2375" t="s">
        <v>471</v>
      </c>
      <c r="D11" s="2376"/>
      <c r="E11" s="2376"/>
      <c r="F11" s="2377"/>
      <c r="G11" s="589"/>
      <c r="H11" s="590">
        <v>0</v>
      </c>
    </row>
    <row r="12" spans="1:9" ht="15.75" thickTop="1">
      <c r="A12" s="2309"/>
      <c r="B12" s="588"/>
      <c r="C12" s="2352" t="s">
        <v>1931</v>
      </c>
      <c r="D12" s="2353"/>
      <c r="E12" s="2353"/>
      <c r="F12" s="2353"/>
      <c r="G12" s="2354"/>
      <c r="H12" s="591">
        <f>SUM(H11)</f>
        <v>0</v>
      </c>
    </row>
    <row r="13" spans="1:9">
      <c r="A13" s="2309"/>
      <c r="B13" s="594"/>
      <c r="C13" s="2383"/>
      <c r="D13" s="2384"/>
      <c r="E13" s="2384"/>
      <c r="F13" s="2385"/>
      <c r="G13" s="594"/>
      <c r="H13" s="594"/>
      <c r="I13" s="1925"/>
    </row>
    <row r="14" spans="1:9">
      <c r="A14" s="2309"/>
      <c r="B14" s="2355" t="s">
        <v>472</v>
      </c>
      <c r="C14" s="2356"/>
      <c r="D14" s="2356"/>
      <c r="E14" s="2356"/>
      <c r="F14" s="2357"/>
      <c r="G14" s="588"/>
      <c r="H14" s="588"/>
    </row>
    <row r="15" spans="1:9">
      <c r="A15" s="2309"/>
      <c r="B15" s="588"/>
      <c r="C15" s="2378" t="s">
        <v>473</v>
      </c>
      <c r="D15" s="2379"/>
      <c r="E15" s="2379"/>
      <c r="F15" s="2380"/>
      <c r="G15" s="588"/>
      <c r="H15" s="592">
        <v>70000</v>
      </c>
    </row>
    <row r="16" spans="1:9">
      <c r="A16" s="2309"/>
      <c r="B16" s="588"/>
      <c r="C16" s="2378" t="s">
        <v>1808</v>
      </c>
      <c r="D16" s="2379"/>
      <c r="E16" s="2379"/>
      <c r="F16" s="2380"/>
      <c r="G16" s="588"/>
      <c r="H16" s="592">
        <v>755099</v>
      </c>
    </row>
    <row r="17" spans="1:12">
      <c r="A17" s="2309"/>
      <c r="B17" s="588"/>
      <c r="C17" s="2378" t="s">
        <v>474</v>
      </c>
      <c r="D17" s="2379"/>
      <c r="E17" s="2379"/>
      <c r="F17" s="2380"/>
      <c r="G17" s="588"/>
      <c r="H17" s="592">
        <v>10622533</v>
      </c>
    </row>
    <row r="18" spans="1:12" ht="15.75" thickBot="1">
      <c r="A18" s="2309"/>
      <c r="B18" s="588"/>
      <c r="C18" s="2375" t="s">
        <v>1530</v>
      </c>
      <c r="D18" s="2376"/>
      <c r="E18" s="2376"/>
      <c r="F18" s="2377"/>
      <c r="G18" s="589"/>
      <c r="H18" s="590">
        <v>22130</v>
      </c>
    </row>
    <row r="19" spans="1:12" ht="15.75" thickTop="1">
      <c r="A19" s="2310"/>
      <c r="B19" s="588"/>
      <c r="C19" s="2352" t="s">
        <v>1927</v>
      </c>
      <c r="D19" s="2353"/>
      <c r="E19" s="2353"/>
      <c r="F19" s="2353"/>
      <c r="G19" s="2354"/>
      <c r="H19" s="593">
        <f>SUM(H15:H18)</f>
        <v>11469762</v>
      </c>
    </row>
    <row r="20" spans="1:12">
      <c r="C20" s="2374"/>
      <c r="D20" s="2374"/>
      <c r="E20" s="1926"/>
      <c r="F20" s="1926"/>
      <c r="H20" s="410"/>
    </row>
    <row r="21" spans="1:12">
      <c r="A21" s="1925"/>
      <c r="B21" s="1925"/>
      <c r="C21" s="1925"/>
      <c r="D21" s="1925"/>
      <c r="E21" s="1925"/>
      <c r="F21" s="1925"/>
      <c r="G21" s="1925"/>
      <c r="H21" s="1925"/>
      <c r="I21" s="1925"/>
    </row>
    <row r="22" spans="1:12" ht="28.5" customHeight="1" thickBot="1">
      <c r="A22" s="2311" t="s">
        <v>475</v>
      </c>
      <c r="B22" s="2311"/>
      <c r="C22" s="2311"/>
      <c r="D22" s="2311"/>
      <c r="E22" s="2311"/>
      <c r="F22" s="2311"/>
      <c r="G22" s="584"/>
      <c r="H22" s="1927">
        <f>SUM(H12+H19)</f>
        <v>11469762</v>
      </c>
      <c r="I22" s="409"/>
    </row>
    <row r="23" spans="1:12" ht="15.75" thickTop="1">
      <c r="A23" s="1925"/>
      <c r="B23" s="1925"/>
      <c r="C23" s="1925"/>
      <c r="D23" s="1925"/>
      <c r="E23" s="1925"/>
      <c r="F23" s="1925"/>
      <c r="G23" s="1925"/>
      <c r="H23" s="1925"/>
      <c r="I23" s="1925"/>
    </row>
    <row r="24" spans="1:12" ht="15.75" thickBot="1">
      <c r="A24" s="2312" t="s">
        <v>476</v>
      </c>
      <c r="B24" s="2312"/>
      <c r="C24" s="2312"/>
      <c r="D24" s="2312"/>
      <c r="E24" s="2312"/>
      <c r="F24" s="2312"/>
      <c r="G24" s="586"/>
      <c r="H24" s="1928">
        <f>SUM(H22:H23)</f>
        <v>11469762</v>
      </c>
      <c r="I24" s="409"/>
    </row>
    <row r="25" spans="1:12" ht="15.75" thickTop="1">
      <c r="A25" s="1925"/>
      <c r="B25" s="1925"/>
      <c r="C25" s="1925"/>
      <c r="D25" s="1925"/>
      <c r="E25" s="1925"/>
      <c r="F25" s="1925"/>
      <c r="G25" s="1925"/>
      <c r="H25" s="1925"/>
      <c r="I25" s="1925"/>
    </row>
    <row r="26" spans="1:12">
      <c r="A26" s="1925"/>
      <c r="B26" s="1925"/>
      <c r="C26" s="1925"/>
      <c r="D26" s="1925"/>
      <c r="E26" s="1925"/>
      <c r="F26" s="1925"/>
      <c r="G26" s="1925"/>
      <c r="H26" s="1925"/>
      <c r="I26" s="1925"/>
    </row>
    <row r="27" spans="1:12">
      <c r="A27" s="1925"/>
      <c r="B27" s="1925"/>
      <c r="C27" s="1925"/>
      <c r="D27" s="1925"/>
      <c r="E27" s="1925"/>
      <c r="F27" s="1925"/>
      <c r="G27" s="1925"/>
      <c r="H27" s="1925"/>
      <c r="I27" s="1925"/>
    </row>
    <row r="28" spans="1:12">
      <c r="A28" s="2328" t="s">
        <v>1694</v>
      </c>
      <c r="B28" s="2329"/>
      <c r="C28" s="2329"/>
      <c r="D28" s="2329"/>
      <c r="E28" s="2329"/>
      <c r="F28" s="2329"/>
      <c r="G28" s="2329"/>
      <c r="H28" s="2329"/>
      <c r="I28" s="2329"/>
      <c r="J28" s="2329"/>
      <c r="K28" s="2329"/>
      <c r="L28" s="2330"/>
    </row>
    <row r="29" spans="1:12">
      <c r="A29" s="1929"/>
      <c r="B29" s="2334"/>
      <c r="C29" s="2334"/>
      <c r="D29" s="2334"/>
      <c r="E29" s="2334"/>
      <c r="F29" s="2334"/>
      <c r="G29" s="2334"/>
      <c r="H29" s="2334"/>
      <c r="I29" s="2334"/>
      <c r="J29" s="2334"/>
      <c r="K29" s="2334"/>
      <c r="L29" s="2335"/>
    </row>
    <row r="30" spans="1:12">
      <c r="A30" s="2313" t="s">
        <v>1695</v>
      </c>
      <c r="B30" s="2314"/>
      <c r="C30" s="2314"/>
      <c r="D30" s="2314"/>
      <c r="E30" s="2314"/>
      <c r="F30" s="2314"/>
      <c r="G30" s="2314"/>
      <c r="H30" s="2314"/>
      <c r="I30" s="2314"/>
      <c r="J30" s="2314"/>
      <c r="K30" s="2315"/>
      <c r="L30" s="594">
        <v>0</v>
      </c>
    </row>
    <row r="31" spans="1:12">
      <c r="A31" s="2313" t="s">
        <v>1696</v>
      </c>
      <c r="B31" s="2314"/>
      <c r="C31" s="2314"/>
      <c r="D31" s="2314"/>
      <c r="E31" s="2314"/>
      <c r="F31" s="2314"/>
      <c r="G31" s="2314"/>
      <c r="H31" s="2314"/>
      <c r="I31" s="2314"/>
      <c r="J31" s="2314"/>
      <c r="K31" s="2315"/>
      <c r="L31" s="595">
        <v>22395781</v>
      </c>
    </row>
    <row r="32" spans="1:12" ht="15.75" thickBot="1">
      <c r="A32" s="2386"/>
      <c r="B32" s="2387"/>
      <c r="C32" s="2387"/>
      <c r="D32" s="2387"/>
      <c r="E32" s="2387"/>
      <c r="F32" s="2387"/>
      <c r="G32" s="2387"/>
      <c r="H32" s="2387"/>
      <c r="I32" s="2387"/>
      <c r="J32" s="2387"/>
      <c r="K32" s="2387"/>
      <c r="L32" s="2388"/>
    </row>
    <row r="33" spans="1:12" ht="15.75" thickTop="1">
      <c r="A33" s="2316" t="s">
        <v>168</v>
      </c>
      <c r="B33" s="2317"/>
      <c r="C33" s="2317"/>
      <c r="D33" s="2317"/>
      <c r="E33" s="2317"/>
      <c r="F33" s="2317"/>
      <c r="G33" s="2317"/>
      <c r="H33" s="2317"/>
      <c r="I33" s="2317"/>
      <c r="J33" s="2317"/>
      <c r="K33" s="2318"/>
      <c r="L33" s="587">
        <f>SUM(L30:L32)</f>
        <v>22395781</v>
      </c>
    </row>
    <row r="34" spans="1:12">
      <c r="A34" s="2313" t="s">
        <v>1697</v>
      </c>
      <c r="B34" s="2314"/>
      <c r="C34" s="2314"/>
      <c r="D34" s="2314"/>
      <c r="E34" s="2314"/>
      <c r="F34" s="2314"/>
      <c r="G34" s="2314"/>
      <c r="H34" s="2314"/>
      <c r="I34" s="2314"/>
      <c r="J34" s="2314"/>
      <c r="K34" s="2315"/>
      <c r="L34" s="594">
        <v>0</v>
      </c>
    </row>
    <row r="35" spans="1:12">
      <c r="A35" s="2313" t="s">
        <v>1698</v>
      </c>
      <c r="B35" s="2314"/>
      <c r="C35" s="2314"/>
      <c r="D35" s="2314"/>
      <c r="E35" s="2314"/>
      <c r="F35" s="2314"/>
      <c r="G35" s="2314"/>
      <c r="H35" s="2314"/>
      <c r="I35" s="2314"/>
      <c r="J35" s="2314"/>
      <c r="K35" s="2315"/>
      <c r="L35" s="594">
        <v>0</v>
      </c>
    </row>
    <row r="36" spans="1:12">
      <c r="A36" s="2313" t="s">
        <v>1699</v>
      </c>
      <c r="B36" s="2314"/>
      <c r="C36" s="2314"/>
      <c r="D36" s="2314"/>
      <c r="E36" s="2314"/>
      <c r="F36" s="2314"/>
      <c r="G36" s="2314"/>
      <c r="H36" s="2314"/>
      <c r="I36" s="2314"/>
      <c r="J36" s="2314"/>
      <c r="K36" s="2315"/>
      <c r="L36" s="594">
        <v>0</v>
      </c>
    </row>
    <row r="37" spans="1:12">
      <c r="A37" s="2313" t="s">
        <v>1700</v>
      </c>
      <c r="B37" s="2314"/>
      <c r="C37" s="2314"/>
      <c r="D37" s="2314"/>
      <c r="E37" s="2314"/>
      <c r="F37" s="2314"/>
      <c r="G37" s="2314"/>
      <c r="H37" s="2314"/>
      <c r="I37" s="2314"/>
      <c r="J37" s="2314"/>
      <c r="K37" s="2315"/>
      <c r="L37" s="595">
        <v>3239800</v>
      </c>
    </row>
    <row r="38" spans="1:12">
      <c r="A38" s="2313" t="s">
        <v>1701</v>
      </c>
      <c r="B38" s="2314"/>
      <c r="C38" s="2314"/>
      <c r="D38" s="2314"/>
      <c r="E38" s="2314"/>
      <c r="F38" s="2314"/>
      <c r="G38" s="2314"/>
      <c r="H38" s="2314"/>
      <c r="I38" s="2314"/>
      <c r="J38" s="2314"/>
      <c r="K38" s="2315"/>
      <c r="L38" s="595">
        <v>22402028</v>
      </c>
    </row>
    <row r="39" spans="1:12">
      <c r="A39" s="2313" t="s">
        <v>1702</v>
      </c>
      <c r="B39" s="2314"/>
      <c r="C39" s="2314"/>
      <c r="D39" s="2314"/>
      <c r="E39" s="2314"/>
      <c r="F39" s="2314"/>
      <c r="G39" s="2314"/>
      <c r="H39" s="2314"/>
      <c r="I39" s="2314"/>
      <c r="J39" s="2314"/>
      <c r="K39" s="2315"/>
      <c r="L39" s="595">
        <v>177329</v>
      </c>
    </row>
    <row r="40" spans="1:12" ht="15.75" thickBot="1">
      <c r="A40" s="2386"/>
      <c r="B40" s="2387"/>
      <c r="C40" s="2387"/>
      <c r="D40" s="2387"/>
      <c r="E40" s="2387"/>
      <c r="F40" s="2387"/>
      <c r="G40" s="2387"/>
      <c r="H40" s="2387"/>
      <c r="I40" s="2387"/>
      <c r="J40" s="2387"/>
      <c r="K40" s="2387"/>
      <c r="L40" s="2388"/>
    </row>
    <row r="41" spans="1:12" ht="15.75" thickTop="1">
      <c r="A41" s="2316" t="s">
        <v>168</v>
      </c>
      <c r="B41" s="2317"/>
      <c r="C41" s="2317"/>
      <c r="D41" s="2317"/>
      <c r="E41" s="2317"/>
      <c r="F41" s="2317"/>
      <c r="G41" s="2317"/>
      <c r="H41" s="2317"/>
      <c r="I41" s="2317"/>
      <c r="J41" s="2317"/>
      <c r="K41" s="2318"/>
      <c r="L41" s="587">
        <f>SUM(L34:L40)</f>
        <v>25819157</v>
      </c>
    </row>
    <row r="42" spans="1:12">
      <c r="A42" s="2313" t="s">
        <v>1703</v>
      </c>
      <c r="B42" s="2314"/>
      <c r="C42" s="2314"/>
      <c r="D42" s="2314"/>
      <c r="E42" s="2314"/>
      <c r="F42" s="2314"/>
      <c r="G42" s="2314"/>
      <c r="H42" s="2314"/>
      <c r="I42" s="2314"/>
      <c r="J42" s="2314"/>
      <c r="K42" s="2315"/>
      <c r="L42" s="595">
        <v>689374</v>
      </c>
    </row>
    <row r="43" spans="1:12">
      <c r="A43" s="2313" t="s">
        <v>1704</v>
      </c>
      <c r="B43" s="2314"/>
      <c r="C43" s="2314"/>
      <c r="D43" s="2314"/>
      <c r="E43" s="2314"/>
      <c r="F43" s="2314"/>
      <c r="G43" s="2314"/>
      <c r="H43" s="2314"/>
      <c r="I43" s="2314"/>
      <c r="J43" s="2314"/>
      <c r="K43" s="2315"/>
      <c r="L43" s="595">
        <v>132970</v>
      </c>
    </row>
    <row r="44" spans="1:12">
      <c r="A44" s="2313" t="s">
        <v>1687</v>
      </c>
      <c r="B44" s="2314"/>
      <c r="C44" s="2314"/>
      <c r="D44" s="2314"/>
      <c r="E44" s="2314"/>
      <c r="F44" s="2314"/>
      <c r="G44" s="2314"/>
      <c r="H44" s="2314"/>
      <c r="I44" s="2314"/>
      <c r="J44" s="2314"/>
      <c r="K44" s="2315"/>
      <c r="L44" s="595">
        <v>2773405</v>
      </c>
    </row>
    <row r="45" spans="1:12">
      <c r="A45" s="2313" t="s">
        <v>1688</v>
      </c>
      <c r="B45" s="2314"/>
      <c r="C45" s="2314"/>
      <c r="D45" s="2314"/>
      <c r="E45" s="2314"/>
      <c r="F45" s="2314"/>
      <c r="G45" s="2314"/>
      <c r="H45" s="2314"/>
      <c r="I45" s="2314"/>
      <c r="J45" s="2314"/>
      <c r="K45" s="2315"/>
      <c r="L45" s="595">
        <v>45511420</v>
      </c>
    </row>
    <row r="46" spans="1:12" ht="15.75" thickBot="1">
      <c r="A46" s="2386"/>
      <c r="B46" s="2387"/>
      <c r="C46" s="2387"/>
      <c r="D46" s="2387"/>
      <c r="E46" s="2387"/>
      <c r="F46" s="2387"/>
      <c r="G46" s="2387"/>
      <c r="H46" s="2387"/>
      <c r="I46" s="2387"/>
      <c r="J46" s="2387"/>
      <c r="K46" s="2387"/>
      <c r="L46" s="2388"/>
    </row>
    <row r="47" spans="1:12" ht="15.75" thickTop="1">
      <c r="A47" s="2316" t="s">
        <v>168</v>
      </c>
      <c r="B47" s="2317"/>
      <c r="C47" s="2317"/>
      <c r="D47" s="2317"/>
      <c r="E47" s="2317"/>
      <c r="F47" s="2317"/>
      <c r="G47" s="2317"/>
      <c r="H47" s="2317"/>
      <c r="I47" s="2317"/>
      <c r="J47" s="2317"/>
      <c r="K47" s="2318"/>
      <c r="L47" s="587">
        <f>SUM(L42:L46)</f>
        <v>49107169</v>
      </c>
    </row>
    <row r="48" spans="1:12">
      <c r="A48" s="2389"/>
      <c r="B48" s="2390"/>
      <c r="C48" s="2390"/>
      <c r="D48" s="2390"/>
      <c r="E48" s="2390"/>
      <c r="F48" s="2390"/>
      <c r="G48" s="2390"/>
      <c r="H48" s="2390"/>
      <c r="I48" s="2390"/>
      <c r="J48" s="2390"/>
      <c r="K48" s="2390"/>
      <c r="L48" s="2391"/>
    </row>
    <row r="49" spans="1:12">
      <c r="A49" s="2392"/>
      <c r="B49" s="2393"/>
      <c r="C49" s="2393"/>
      <c r="D49" s="2393"/>
      <c r="E49" s="2393"/>
      <c r="F49" s="2393"/>
      <c r="G49" s="2393"/>
      <c r="H49" s="2393"/>
      <c r="I49" s="2393"/>
      <c r="J49" s="2393"/>
      <c r="K49" s="2393"/>
      <c r="L49" s="2394"/>
    </row>
    <row r="50" spans="1:12">
      <c r="A50" s="2313" t="s">
        <v>1705</v>
      </c>
      <c r="B50" s="2314"/>
      <c r="C50" s="2314"/>
      <c r="D50" s="2314"/>
      <c r="E50" s="2314"/>
      <c r="F50" s="2314"/>
      <c r="G50" s="2314"/>
      <c r="H50" s="2314"/>
      <c r="I50" s="2314"/>
      <c r="J50" s="2314"/>
      <c r="K50" s="2315"/>
      <c r="L50" s="594">
        <v>0</v>
      </c>
    </row>
    <row r="51" spans="1:12">
      <c r="A51" s="2313" t="s">
        <v>1693</v>
      </c>
      <c r="B51" s="2314"/>
      <c r="C51" s="2314"/>
      <c r="D51" s="2314"/>
      <c r="E51" s="2314"/>
      <c r="F51" s="2314"/>
      <c r="G51" s="2314"/>
      <c r="H51" s="2314"/>
      <c r="I51" s="2314"/>
      <c r="J51" s="2314"/>
      <c r="K51" s="2315"/>
      <c r="L51" s="594">
        <v>0</v>
      </c>
    </row>
    <row r="52" spans="1:12">
      <c r="A52" s="1925"/>
      <c r="B52" s="1925"/>
      <c r="C52" s="1925"/>
      <c r="D52" s="1925"/>
      <c r="E52" s="1925"/>
      <c r="F52" s="1925"/>
      <c r="G52" s="1925"/>
      <c r="H52" s="1925"/>
      <c r="I52" s="1925"/>
    </row>
    <row r="53" spans="1:12">
      <c r="A53" s="1925"/>
      <c r="B53" s="1925"/>
      <c r="C53" s="1925"/>
      <c r="D53" s="1925"/>
      <c r="E53" s="1925"/>
      <c r="F53" s="1925"/>
      <c r="G53" s="1925"/>
      <c r="H53" s="1925"/>
      <c r="I53" s="1925"/>
    </row>
    <row r="54" spans="1:12" ht="15" customHeight="1">
      <c r="A54" s="2372" t="s">
        <v>51</v>
      </c>
      <c r="B54" s="2395" t="s">
        <v>477</v>
      </c>
      <c r="C54" s="2396"/>
      <c r="D54" s="2396"/>
      <c r="E54" s="2396"/>
      <c r="F54" s="2396"/>
      <c r="G54" s="2396"/>
      <c r="H54" s="2397"/>
      <c r="I54" s="1930"/>
    </row>
    <row r="55" spans="1:12">
      <c r="A55" s="2373"/>
      <c r="B55" s="2398"/>
      <c r="C55" s="2399"/>
      <c r="D55" s="2399"/>
      <c r="E55" s="2399"/>
      <c r="F55" s="2399"/>
      <c r="G55" s="2399"/>
      <c r="H55" s="2400"/>
      <c r="I55" s="1930"/>
    </row>
    <row r="56" spans="1:12">
      <c r="A56" s="2262" t="s">
        <v>466</v>
      </c>
      <c r="B56" s="2258" t="s">
        <v>467</v>
      </c>
      <c r="C56" s="2259"/>
      <c r="D56" s="2259"/>
      <c r="E56" s="2256"/>
      <c r="F56" s="2262"/>
      <c r="G56" s="2258" t="s">
        <v>468</v>
      </c>
      <c r="H56" s="2256"/>
      <c r="I56" s="582"/>
    </row>
    <row r="57" spans="1:12">
      <c r="A57" s="2263"/>
      <c r="B57" s="2260"/>
      <c r="C57" s="2261"/>
      <c r="D57" s="2261"/>
      <c r="E57" s="2257"/>
      <c r="F57" s="2263"/>
      <c r="G57" s="2260"/>
      <c r="H57" s="2257"/>
      <c r="I57" s="583"/>
    </row>
    <row r="58" spans="1:12" ht="39" customHeight="1">
      <c r="A58" s="2410" t="s">
        <v>470</v>
      </c>
      <c r="B58" s="2410"/>
      <c r="C58" s="2410"/>
      <c r="D58" s="2410"/>
      <c r="E58" s="2410"/>
      <c r="F58" s="2410"/>
      <c r="G58" s="2410"/>
      <c r="H58" s="2410"/>
      <c r="I58" s="1925"/>
    </row>
    <row r="59" spans="1:12">
      <c r="A59" s="2322"/>
      <c r="B59" s="2340" t="s">
        <v>402</v>
      </c>
      <c r="C59" s="2341"/>
      <c r="D59" s="2341"/>
      <c r="E59" s="2341"/>
      <c r="F59" s="2341"/>
      <c r="G59" s="2342"/>
      <c r="H59" s="1931"/>
      <c r="I59" s="1925"/>
    </row>
    <row r="60" spans="1:12" ht="15.75" thickBot="1">
      <c r="A60" s="2323"/>
      <c r="B60" s="581"/>
      <c r="C60" s="2402" t="s">
        <v>478</v>
      </c>
      <c r="D60" s="2403"/>
      <c r="E60" s="2403"/>
      <c r="F60" s="2403"/>
      <c r="G60" s="2404"/>
      <c r="H60" s="1932">
        <v>0</v>
      </c>
      <c r="I60" s="1925"/>
    </row>
    <row r="61" spans="1:12" ht="15.75" thickTop="1">
      <c r="A61" s="2324"/>
      <c r="B61" s="2337" t="s">
        <v>1931</v>
      </c>
      <c r="C61" s="2338"/>
      <c r="D61" s="2338"/>
      <c r="E61" s="2338"/>
      <c r="F61" s="2338"/>
      <c r="G61" s="2339"/>
      <c r="H61" s="573">
        <f>SUM(H60)</f>
        <v>0</v>
      </c>
      <c r="I61" s="1925"/>
    </row>
    <row r="62" spans="1:12">
      <c r="A62" s="1925"/>
      <c r="B62" s="2341"/>
      <c r="C62" s="2341"/>
      <c r="D62" s="2341"/>
      <c r="I62" s="1925"/>
    </row>
    <row r="63" spans="1:12" ht="15.75" customHeight="1">
      <c r="A63" s="2322"/>
      <c r="B63" s="2405" t="s">
        <v>472</v>
      </c>
      <c r="C63" s="2406"/>
      <c r="D63" s="2406"/>
      <c r="E63" s="2406"/>
      <c r="F63" s="2406"/>
      <c r="G63" s="2407"/>
      <c r="H63" s="548"/>
      <c r="I63" s="1925"/>
    </row>
    <row r="64" spans="1:12">
      <c r="A64" s="2323"/>
      <c r="B64" s="547"/>
      <c r="C64" s="2325" t="s">
        <v>479</v>
      </c>
      <c r="D64" s="2326"/>
      <c r="E64" s="2326"/>
      <c r="F64" s="2326"/>
      <c r="G64" s="2327"/>
      <c r="H64" s="559">
        <v>0</v>
      </c>
      <c r="I64" s="1925"/>
    </row>
    <row r="65" spans="1:12">
      <c r="A65" s="2323"/>
      <c r="B65" s="547"/>
      <c r="C65" s="2325" t="s">
        <v>474</v>
      </c>
      <c r="D65" s="2326"/>
      <c r="E65" s="2326"/>
      <c r="F65" s="2326"/>
      <c r="G65" s="2327"/>
      <c r="H65" s="559">
        <v>4280854</v>
      </c>
      <c r="I65" s="1925"/>
    </row>
    <row r="66" spans="1:12" ht="15.75" thickBot="1">
      <c r="A66" s="2323"/>
      <c r="B66" s="568"/>
      <c r="C66" s="2402" t="s">
        <v>480</v>
      </c>
      <c r="D66" s="2403"/>
      <c r="E66" s="2403"/>
      <c r="F66" s="2403"/>
      <c r="G66" s="2404"/>
      <c r="H66" s="567">
        <v>318401</v>
      </c>
      <c r="I66" s="1925"/>
    </row>
    <row r="67" spans="1:12" ht="15.75" thickTop="1">
      <c r="A67" s="2324"/>
      <c r="B67" s="2352" t="s">
        <v>1927</v>
      </c>
      <c r="C67" s="2353"/>
      <c r="D67" s="2353"/>
      <c r="E67" s="2353"/>
      <c r="F67" s="2353"/>
      <c r="G67" s="2354"/>
      <c r="H67" s="573">
        <f>SUM(H64:H66)</f>
        <v>4599255</v>
      </c>
      <c r="I67" s="1925"/>
    </row>
    <row r="68" spans="1:12">
      <c r="A68" s="1925"/>
      <c r="C68" s="2401"/>
      <c r="D68" s="2401"/>
      <c r="E68" s="2401"/>
      <c r="H68" s="1933"/>
      <c r="I68" s="1925"/>
    </row>
    <row r="69" spans="1:12">
      <c r="A69" s="1925"/>
      <c r="B69" s="1925"/>
      <c r="C69" s="1925"/>
      <c r="D69" s="1925"/>
      <c r="E69" s="1925"/>
      <c r="F69" s="1925"/>
      <c r="G69" s="1925"/>
      <c r="H69" s="1925"/>
      <c r="I69" s="1925"/>
    </row>
    <row r="70" spans="1:12" ht="24.75" customHeight="1" thickBot="1">
      <c r="A70" s="2408" t="s">
        <v>475</v>
      </c>
      <c r="B70" s="2408"/>
      <c r="C70" s="2408"/>
      <c r="D70" s="2408"/>
      <c r="E70" s="2408"/>
      <c r="F70" s="2408"/>
      <c r="G70" s="408"/>
      <c r="H70" s="1934">
        <f>SUM(H61+H67)</f>
        <v>4599255</v>
      </c>
      <c r="I70" s="1935"/>
    </row>
    <row r="71" spans="1:12" ht="15.75" thickTop="1">
      <c r="H71" s="407"/>
    </row>
    <row r="72" spans="1:12" ht="17.25" customHeight="1" thickBot="1">
      <c r="A72" s="2409" t="s">
        <v>1722</v>
      </c>
      <c r="B72" s="2409"/>
      <c r="C72" s="2409"/>
      <c r="D72" s="2409"/>
      <c r="E72" s="2409"/>
      <c r="F72" s="2409"/>
      <c r="G72" s="2409"/>
      <c r="H72" s="1936">
        <f>SUM(H70:H71)</f>
        <v>4599255</v>
      </c>
      <c r="I72" s="1935"/>
    </row>
    <row r="73" spans="1:12" ht="15.75" thickTop="1">
      <c r="A73" s="1925"/>
      <c r="B73" s="1925"/>
      <c r="C73" s="1925"/>
      <c r="D73" s="1925"/>
      <c r="E73" s="1925"/>
      <c r="F73" s="1925"/>
      <c r="G73" s="1925"/>
      <c r="H73" s="1925"/>
      <c r="I73" s="1925"/>
    </row>
    <row r="74" spans="1:12">
      <c r="A74" s="1925"/>
      <c r="B74" s="1925"/>
      <c r="C74" s="1925"/>
      <c r="D74" s="1925"/>
      <c r="E74" s="1925"/>
      <c r="F74" s="1925"/>
      <c r="G74" s="1925"/>
      <c r="H74" s="1925"/>
      <c r="I74" s="1925"/>
    </row>
    <row r="75" spans="1:12">
      <c r="A75" s="2328" t="s">
        <v>1748</v>
      </c>
      <c r="B75" s="2329"/>
      <c r="C75" s="2329"/>
      <c r="D75" s="2329"/>
      <c r="E75" s="2329"/>
      <c r="F75" s="2329"/>
      <c r="G75" s="2329"/>
      <c r="H75" s="2329"/>
      <c r="I75" s="2329"/>
      <c r="J75" s="2329"/>
      <c r="K75" s="2329"/>
      <c r="L75" s="2330"/>
    </row>
    <row r="76" spans="1:12">
      <c r="A76" s="2331"/>
      <c r="B76" s="2332"/>
      <c r="C76" s="2332"/>
      <c r="D76" s="2332"/>
      <c r="E76" s="2332"/>
      <c r="F76" s="2332"/>
      <c r="G76" s="2332"/>
      <c r="H76" s="2332"/>
      <c r="I76" s="2332"/>
      <c r="J76" s="2332"/>
      <c r="K76" s="2332"/>
      <c r="L76" s="2333"/>
    </row>
    <row r="77" spans="1:12">
      <c r="A77" s="2235" t="s">
        <v>1706</v>
      </c>
      <c r="B77" s="2236"/>
      <c r="C77" s="2236"/>
      <c r="D77" s="2236"/>
      <c r="E77" s="2236"/>
      <c r="F77" s="2236"/>
      <c r="G77" s="2236"/>
      <c r="H77" s="2236"/>
      <c r="I77" s="2236"/>
      <c r="J77" s="2236"/>
      <c r="K77" s="2237"/>
      <c r="L77" s="1937">
        <v>0</v>
      </c>
    </row>
    <row r="78" spans="1:12">
      <c r="A78" s="2235" t="s">
        <v>1698</v>
      </c>
      <c r="B78" s="2236"/>
      <c r="C78" s="2236"/>
      <c r="D78" s="2236"/>
      <c r="E78" s="2236"/>
      <c r="F78" s="2236"/>
      <c r="G78" s="2236"/>
      <c r="H78" s="2236"/>
      <c r="I78" s="2236"/>
      <c r="J78" s="2236"/>
      <c r="K78" s="2237"/>
      <c r="L78" s="1937">
        <v>0</v>
      </c>
    </row>
    <row r="79" spans="1:12">
      <c r="A79" s="2235" t="s">
        <v>1700</v>
      </c>
      <c r="B79" s="2236"/>
      <c r="C79" s="2236"/>
      <c r="D79" s="2236"/>
      <c r="E79" s="2236"/>
      <c r="F79" s="2236"/>
      <c r="G79" s="2236"/>
      <c r="H79" s="2236"/>
      <c r="I79" s="2236"/>
      <c r="J79" s="2236"/>
      <c r="K79" s="2237"/>
      <c r="L79" s="1938">
        <v>717515</v>
      </c>
    </row>
    <row r="80" spans="1:12">
      <c r="A80" s="2235" t="s">
        <v>1701</v>
      </c>
      <c r="B80" s="2236"/>
      <c r="C80" s="2236"/>
      <c r="D80" s="2236"/>
      <c r="E80" s="2236"/>
      <c r="F80" s="2236"/>
      <c r="G80" s="2236"/>
      <c r="H80" s="2236"/>
      <c r="I80" s="2236"/>
      <c r="J80" s="2236"/>
      <c r="K80" s="2237"/>
      <c r="L80" s="1938">
        <v>8769405</v>
      </c>
    </row>
    <row r="81" spans="1:12">
      <c r="A81" s="2235" t="s">
        <v>1707</v>
      </c>
      <c r="B81" s="2236"/>
      <c r="C81" s="2236"/>
      <c r="D81" s="2236"/>
      <c r="E81" s="2236"/>
      <c r="F81" s="2236"/>
      <c r="G81" s="2236"/>
      <c r="H81" s="2236"/>
      <c r="I81" s="2236"/>
      <c r="J81" s="2236"/>
      <c r="K81" s="2237"/>
      <c r="L81" s="1938">
        <v>46457</v>
      </c>
    </row>
    <row r="82" spans="1:12" ht="15.75" thickBot="1">
      <c r="A82" s="2297"/>
      <c r="B82" s="2298"/>
      <c r="C82" s="2298"/>
      <c r="D82" s="2298"/>
      <c r="E82" s="2298"/>
      <c r="F82" s="2298"/>
      <c r="G82" s="2298"/>
      <c r="H82" s="2298"/>
      <c r="I82" s="2298"/>
      <c r="J82" s="2298"/>
      <c r="K82" s="2299"/>
      <c r="L82" s="1939"/>
    </row>
    <row r="83" spans="1:12" ht="15.75" thickTop="1">
      <c r="A83" s="2316" t="s">
        <v>168</v>
      </c>
      <c r="B83" s="2317"/>
      <c r="C83" s="2317"/>
      <c r="D83" s="2317"/>
      <c r="E83" s="2317"/>
      <c r="F83" s="2317"/>
      <c r="G83" s="2317"/>
      <c r="H83" s="2317"/>
      <c r="I83" s="2317"/>
      <c r="J83" s="2317"/>
      <c r="K83" s="2318"/>
      <c r="L83" s="587">
        <f>SUM(L77:L82)</f>
        <v>9533377</v>
      </c>
    </row>
    <row r="84" spans="1:12">
      <c r="A84" s="2235" t="s">
        <v>1683</v>
      </c>
      <c r="B84" s="2236"/>
      <c r="C84" s="2236"/>
      <c r="D84" s="2236"/>
      <c r="E84" s="2236"/>
      <c r="F84" s="2236"/>
      <c r="G84" s="2236"/>
      <c r="H84" s="2236"/>
      <c r="I84" s="2236"/>
      <c r="J84" s="2236"/>
      <c r="K84" s="2237"/>
      <c r="L84" s="1938">
        <v>263199</v>
      </c>
    </row>
    <row r="85" spans="1:12">
      <c r="A85" s="2235" t="s">
        <v>1687</v>
      </c>
      <c r="B85" s="2236"/>
      <c r="C85" s="2236"/>
      <c r="D85" s="2236"/>
      <c r="E85" s="2236"/>
      <c r="F85" s="2236"/>
      <c r="G85" s="2236"/>
      <c r="H85" s="2236"/>
      <c r="I85" s="2236"/>
      <c r="J85" s="2236"/>
      <c r="K85" s="2237"/>
      <c r="L85" s="1938">
        <v>0</v>
      </c>
    </row>
    <row r="86" spans="1:12">
      <c r="A86" s="2235" t="s">
        <v>1708</v>
      </c>
      <c r="B86" s="2236"/>
      <c r="C86" s="2236"/>
      <c r="D86" s="2236"/>
      <c r="E86" s="2236"/>
      <c r="F86" s="2236"/>
      <c r="G86" s="2236"/>
      <c r="H86" s="2236"/>
      <c r="I86" s="2236"/>
      <c r="J86" s="2236"/>
      <c r="K86" s="2237"/>
      <c r="L86" s="1938">
        <v>12510356</v>
      </c>
    </row>
    <row r="87" spans="1:12" ht="15.75" thickBot="1">
      <c r="A87" s="2319" t="s">
        <v>1723</v>
      </c>
      <c r="B87" s="2320"/>
      <c r="C87" s="2320"/>
      <c r="D87" s="2320"/>
      <c r="E87" s="2320"/>
      <c r="F87" s="2320"/>
      <c r="G87" s="2320"/>
      <c r="H87" s="2320"/>
      <c r="I87" s="2320"/>
      <c r="J87" s="2320"/>
      <c r="K87" s="2321"/>
      <c r="L87" s="1940">
        <v>3545114</v>
      </c>
    </row>
    <row r="88" spans="1:12" ht="15.75" thickTop="1">
      <c r="A88" s="2316" t="s">
        <v>168</v>
      </c>
      <c r="B88" s="2317"/>
      <c r="C88" s="2317"/>
      <c r="D88" s="2317"/>
      <c r="E88" s="2317"/>
      <c r="F88" s="2317"/>
      <c r="G88" s="2317"/>
      <c r="H88" s="2317"/>
      <c r="I88" s="2317"/>
      <c r="J88" s="2317"/>
      <c r="K88" s="2318"/>
      <c r="L88" s="587">
        <f>SUM(L84:L87)</f>
        <v>16318669</v>
      </c>
    </row>
    <row r="89" spans="1:12">
      <c r="A89" s="2303"/>
      <c r="B89" s="2278"/>
      <c r="C89" s="2278"/>
      <c r="D89" s="2278"/>
      <c r="E89" s="2278"/>
      <c r="F89" s="2278"/>
      <c r="G89" s="2278"/>
      <c r="H89" s="2278"/>
      <c r="I89" s="2278"/>
      <c r="J89" s="2278"/>
      <c r="K89" s="2279"/>
      <c r="L89" s="1937"/>
    </row>
    <row r="90" spans="1:12">
      <c r="A90" s="2304"/>
      <c r="B90" s="2288"/>
      <c r="C90" s="2288"/>
      <c r="D90" s="2288"/>
      <c r="E90" s="2288"/>
      <c r="F90" s="2288"/>
      <c r="G90" s="2288"/>
      <c r="H90" s="2288"/>
      <c r="I90" s="2288"/>
      <c r="J90" s="2288"/>
      <c r="K90" s="2289"/>
      <c r="L90" s="1937"/>
    </row>
    <row r="91" spans="1:12">
      <c r="A91" s="2235" t="s">
        <v>1709</v>
      </c>
      <c r="B91" s="2236"/>
      <c r="C91" s="2236"/>
      <c r="D91" s="2236"/>
      <c r="E91" s="2236"/>
      <c r="F91" s="2236"/>
      <c r="G91" s="2236"/>
      <c r="H91" s="2236"/>
      <c r="I91" s="2236"/>
      <c r="J91" s="2236"/>
      <c r="K91" s="2237"/>
      <c r="L91" s="1937">
        <v>0</v>
      </c>
    </row>
    <row r="92" spans="1:12">
      <c r="A92" s="2235" t="s">
        <v>1693</v>
      </c>
      <c r="B92" s="2236"/>
      <c r="C92" s="2236"/>
      <c r="D92" s="2236"/>
      <c r="E92" s="2236"/>
      <c r="F92" s="2236"/>
      <c r="G92" s="2236"/>
      <c r="H92" s="2236"/>
      <c r="I92" s="2236"/>
      <c r="J92" s="2236"/>
      <c r="K92" s="2237"/>
      <c r="L92" s="1937">
        <v>0</v>
      </c>
    </row>
    <row r="93" spans="1:12">
      <c r="A93" s="1925"/>
      <c r="B93" s="1925"/>
      <c r="C93" s="1925"/>
      <c r="D93" s="1925"/>
      <c r="E93" s="1925"/>
      <c r="F93" s="1925"/>
      <c r="G93" s="1925"/>
      <c r="H93" s="1925"/>
      <c r="I93" s="1925"/>
    </row>
    <row r="94" spans="1:12">
      <c r="A94" s="1925"/>
      <c r="B94" s="1925"/>
      <c r="C94" s="1925"/>
      <c r="D94" s="1925"/>
      <c r="E94" s="1925"/>
      <c r="F94" s="1925"/>
      <c r="G94" s="1925"/>
      <c r="H94" s="1925"/>
      <c r="I94" s="1925"/>
    </row>
    <row r="95" spans="1:12" ht="30.75" customHeight="1">
      <c r="A95" s="1941" t="s">
        <v>53</v>
      </c>
      <c r="B95" s="2336" t="s">
        <v>41</v>
      </c>
      <c r="C95" s="2336"/>
      <c r="D95" s="2336"/>
      <c r="E95" s="2336"/>
      <c r="F95" s="2336"/>
      <c r="G95" s="2336"/>
      <c r="H95" s="2336"/>
    </row>
    <row r="96" spans="1:12" ht="30.75" customHeight="1">
      <c r="A96" s="2412" t="s">
        <v>466</v>
      </c>
      <c r="B96" s="2412" t="s">
        <v>467</v>
      </c>
      <c r="C96" s="2412"/>
      <c r="D96" s="2412"/>
      <c r="E96" s="2412"/>
      <c r="F96" s="2308"/>
      <c r="G96" s="2412" t="s">
        <v>468</v>
      </c>
      <c r="H96" s="2412"/>
      <c r="I96" s="405"/>
    </row>
    <row r="97" spans="1:12" ht="30.75" customHeight="1">
      <c r="A97" s="2412"/>
      <c r="B97" s="2412"/>
      <c r="C97" s="2412"/>
      <c r="D97" s="2412"/>
      <c r="E97" s="2412"/>
      <c r="F97" s="2310"/>
      <c r="G97" s="2412"/>
      <c r="H97" s="2412"/>
      <c r="I97" s="406"/>
    </row>
    <row r="98" spans="1:12">
      <c r="A98" s="2282" t="s">
        <v>470</v>
      </c>
      <c r="B98" s="2283"/>
      <c r="C98" s="2283"/>
      <c r="D98" s="2283"/>
      <c r="E98" s="2283"/>
      <c r="F98" s="2283"/>
      <c r="G98" s="2283"/>
      <c r="H98" s="2284"/>
    </row>
    <row r="99" spans="1:12">
      <c r="A99" s="2285"/>
      <c r="B99" s="2286"/>
      <c r="C99" s="2286"/>
      <c r="D99" s="2286"/>
      <c r="E99" s="2286"/>
      <c r="F99" s="2286"/>
      <c r="G99" s="2286"/>
      <c r="H99" s="2287"/>
    </row>
    <row r="100" spans="1:12">
      <c r="A100" s="2308"/>
      <c r="B100" s="2340" t="s">
        <v>472</v>
      </c>
      <c r="C100" s="2341"/>
      <c r="D100" s="2341"/>
      <c r="E100" s="2341"/>
      <c r="F100" s="2342"/>
      <c r="G100" s="1942"/>
      <c r="H100" s="1931"/>
    </row>
    <row r="101" spans="1:12">
      <c r="A101" s="2310"/>
      <c r="B101" s="548"/>
      <c r="C101" s="2425" t="s">
        <v>1932</v>
      </c>
      <c r="D101" s="2426"/>
      <c r="E101" s="2426"/>
      <c r="F101" s="2426"/>
      <c r="G101" s="2427"/>
      <c r="H101" s="1943">
        <v>831417</v>
      </c>
    </row>
    <row r="102" spans="1:12">
      <c r="C102" s="413"/>
      <c r="F102" s="2413"/>
      <c r="G102" s="2413"/>
      <c r="H102" s="407"/>
    </row>
    <row r="103" spans="1:12">
      <c r="A103" s="1925"/>
      <c r="B103" s="1925"/>
      <c r="C103" s="1925"/>
      <c r="D103" s="1925"/>
      <c r="E103" s="1925"/>
      <c r="F103" s="1925"/>
      <c r="G103" s="1925"/>
      <c r="H103" s="1925"/>
      <c r="I103" s="1925"/>
    </row>
    <row r="104" spans="1:12" ht="31.5" customHeight="1" thickBot="1">
      <c r="A104" s="2414" t="s">
        <v>475</v>
      </c>
      <c r="B104" s="2414"/>
      <c r="C104" s="2414"/>
      <c r="D104" s="2414"/>
      <c r="E104" s="2414"/>
      <c r="F104" s="2414"/>
      <c r="G104" s="1944"/>
      <c r="H104" s="1945">
        <f>SUM(H101:H103)</f>
        <v>831417</v>
      </c>
      <c r="I104" s="409"/>
    </row>
    <row r="105" spans="1:12" ht="15.75" thickTop="1">
      <c r="B105" s="1946"/>
      <c r="C105" s="1946"/>
      <c r="D105" s="1946"/>
      <c r="E105" s="1946"/>
      <c r="F105" s="1946"/>
      <c r="G105" s="1946"/>
      <c r="H105" s="1933"/>
    </row>
    <row r="106" spans="1:12" ht="21.75" customHeight="1" thickBot="1">
      <c r="A106" s="2415" t="s">
        <v>481</v>
      </c>
      <c r="B106" s="2415"/>
      <c r="C106" s="2415"/>
      <c r="D106" s="2415"/>
      <c r="E106" s="2415"/>
      <c r="F106" s="2415"/>
      <c r="G106" s="1947"/>
      <c r="H106" s="1948">
        <f>SUM(H104:H105)</f>
        <v>831417</v>
      </c>
      <c r="I106" s="409"/>
    </row>
    <row r="107" spans="1:12" ht="15.75" thickTop="1">
      <c r="A107" s="1925"/>
      <c r="B107" s="1925"/>
      <c r="C107" s="1925"/>
      <c r="D107" s="1925"/>
      <c r="E107" s="1925"/>
      <c r="F107" s="1925"/>
      <c r="G107" s="1925"/>
      <c r="H107" s="1925"/>
      <c r="I107" s="1925"/>
    </row>
    <row r="108" spans="1:12">
      <c r="A108" s="1925"/>
      <c r="B108" s="1925"/>
      <c r="C108" s="1925"/>
      <c r="D108" s="1925"/>
      <c r="E108" s="1925"/>
      <c r="F108" s="1925"/>
      <c r="G108" s="1925"/>
      <c r="H108" s="1925"/>
      <c r="I108" s="1925"/>
    </row>
    <row r="109" spans="1:12">
      <c r="A109" s="2369" t="s">
        <v>1710</v>
      </c>
      <c r="B109" s="2370"/>
      <c r="C109" s="2370"/>
      <c r="D109" s="2370"/>
      <c r="E109" s="2370"/>
      <c r="F109" s="2370"/>
      <c r="G109" s="2370"/>
      <c r="H109" s="2370"/>
      <c r="I109" s="2370"/>
      <c r="J109" s="2370"/>
      <c r="K109" s="2370"/>
      <c r="L109" s="2371"/>
    </row>
    <row r="110" spans="1:12">
      <c r="A110" s="2331"/>
      <c r="B110" s="2332"/>
      <c r="C110" s="2332"/>
      <c r="D110" s="2332"/>
      <c r="E110" s="2332"/>
      <c r="F110" s="2332"/>
      <c r="G110" s="2332"/>
      <c r="H110" s="2332"/>
      <c r="I110" s="2332"/>
      <c r="J110" s="2332"/>
      <c r="K110" s="2332"/>
      <c r="L110" s="2333"/>
    </row>
    <row r="111" spans="1:12">
      <c r="A111" s="2235" t="s">
        <v>1697</v>
      </c>
      <c r="B111" s="2236"/>
      <c r="C111" s="2236"/>
      <c r="D111" s="2236"/>
      <c r="E111" s="2236"/>
      <c r="F111" s="2236"/>
      <c r="G111" s="2236"/>
      <c r="H111" s="2236"/>
      <c r="I111" s="2236"/>
      <c r="J111" s="2236"/>
      <c r="K111" s="2237"/>
      <c r="L111" s="1937">
        <v>0</v>
      </c>
    </row>
    <row r="112" spans="1:12">
      <c r="A112" s="2235" t="s">
        <v>1698</v>
      </c>
      <c r="B112" s="2236"/>
      <c r="C112" s="2236"/>
      <c r="D112" s="2236"/>
      <c r="E112" s="2236"/>
      <c r="F112" s="2236"/>
      <c r="G112" s="2236"/>
      <c r="H112" s="2236"/>
      <c r="I112" s="2236"/>
      <c r="J112" s="2236"/>
      <c r="K112" s="2237"/>
      <c r="L112" s="1937">
        <v>0</v>
      </c>
    </row>
    <row r="113" spans="1:12">
      <c r="A113" s="2235" t="s">
        <v>1675</v>
      </c>
      <c r="B113" s="2236"/>
      <c r="C113" s="2236"/>
      <c r="D113" s="2236"/>
      <c r="E113" s="2236"/>
      <c r="F113" s="2236"/>
      <c r="G113" s="2236"/>
      <c r="H113" s="2236"/>
      <c r="I113" s="2236"/>
      <c r="J113" s="2236"/>
      <c r="K113" s="2237"/>
      <c r="L113" s="1938">
        <v>646291</v>
      </c>
    </row>
    <row r="114" spans="1:12">
      <c r="A114" s="2235" t="s">
        <v>1809</v>
      </c>
      <c r="B114" s="2236"/>
      <c r="C114" s="2236"/>
      <c r="D114" s="2236"/>
      <c r="E114" s="2236"/>
      <c r="F114" s="2236"/>
      <c r="G114" s="2236"/>
      <c r="H114" s="2236"/>
      <c r="I114" s="2236"/>
      <c r="J114" s="2236"/>
      <c r="K114" s="2237"/>
      <c r="L114" s="1938">
        <v>14230301</v>
      </c>
    </row>
    <row r="115" spans="1:12" ht="15.75" thickBot="1">
      <c r="A115" s="2297"/>
      <c r="B115" s="2298"/>
      <c r="C115" s="2298"/>
      <c r="D115" s="2298"/>
      <c r="E115" s="2298"/>
      <c r="F115" s="2298"/>
      <c r="G115" s="2298"/>
      <c r="H115" s="2298"/>
      <c r="I115" s="2298"/>
      <c r="J115" s="2298"/>
      <c r="K115" s="2298"/>
      <c r="L115" s="2299"/>
    </row>
    <row r="116" spans="1:12" ht="15.75" thickTop="1">
      <c r="A116" s="2316" t="s">
        <v>168</v>
      </c>
      <c r="B116" s="2317"/>
      <c r="C116" s="2317"/>
      <c r="D116" s="2317"/>
      <c r="E116" s="2317"/>
      <c r="F116" s="2317"/>
      <c r="G116" s="2317"/>
      <c r="H116" s="2317"/>
      <c r="I116" s="2317"/>
      <c r="J116" s="2317"/>
      <c r="K116" s="2318"/>
      <c r="L116" s="587">
        <f>SUM(L111:L115)</f>
        <v>14876592</v>
      </c>
    </row>
    <row r="117" spans="1:12">
      <c r="A117" s="2331"/>
      <c r="B117" s="2332"/>
      <c r="C117" s="2332"/>
      <c r="D117" s="2332"/>
      <c r="E117" s="2332"/>
      <c r="F117" s="2332"/>
      <c r="G117" s="2332"/>
      <c r="H117" s="2332"/>
      <c r="I117" s="2332"/>
      <c r="J117" s="2332"/>
      <c r="K117" s="2332"/>
      <c r="L117" s="2333"/>
    </row>
    <row r="118" spans="1:12">
      <c r="A118" s="2235" t="s">
        <v>1683</v>
      </c>
      <c r="B118" s="2236"/>
      <c r="C118" s="2236"/>
      <c r="D118" s="2236"/>
      <c r="E118" s="2236"/>
      <c r="F118" s="2236"/>
      <c r="G118" s="2236"/>
      <c r="H118" s="2236"/>
      <c r="I118" s="2236"/>
      <c r="J118" s="2236"/>
      <c r="K118" s="2237"/>
      <c r="L118" s="1938">
        <v>19650</v>
      </c>
    </row>
    <row r="119" spans="1:12">
      <c r="A119" s="2235" t="s">
        <v>1711</v>
      </c>
      <c r="B119" s="2236"/>
      <c r="C119" s="2236"/>
      <c r="D119" s="2236"/>
      <c r="E119" s="2236"/>
      <c r="F119" s="2236"/>
      <c r="G119" s="2236"/>
      <c r="H119" s="2236"/>
      <c r="I119" s="2236"/>
      <c r="J119" s="2236"/>
      <c r="K119" s="2237"/>
      <c r="L119" s="1938">
        <v>113000</v>
      </c>
    </row>
    <row r="120" spans="1:12">
      <c r="A120" s="2235" t="s">
        <v>1687</v>
      </c>
      <c r="B120" s="2236"/>
      <c r="C120" s="2236"/>
      <c r="D120" s="2236"/>
      <c r="E120" s="2236"/>
      <c r="F120" s="2236"/>
      <c r="G120" s="2236"/>
      <c r="H120" s="2236"/>
      <c r="I120" s="2236"/>
      <c r="J120" s="2236"/>
      <c r="K120" s="2237"/>
      <c r="L120" s="1938">
        <v>205200</v>
      </c>
    </row>
    <row r="121" spans="1:12" ht="15.75" thickBot="1">
      <c r="A121" s="2319" t="s">
        <v>1712</v>
      </c>
      <c r="B121" s="2320"/>
      <c r="C121" s="2320"/>
      <c r="D121" s="2320"/>
      <c r="E121" s="2320"/>
      <c r="F121" s="2320"/>
      <c r="G121" s="2320"/>
      <c r="H121" s="2320"/>
      <c r="I121" s="2320"/>
      <c r="J121" s="2320"/>
      <c r="K121" s="2321"/>
      <c r="L121" s="1940">
        <v>4082068</v>
      </c>
    </row>
    <row r="122" spans="1:12" ht="17.25" customHeight="1" thickTop="1">
      <c r="A122" s="2300" t="s">
        <v>168</v>
      </c>
      <c r="B122" s="2301"/>
      <c r="C122" s="2301"/>
      <c r="D122" s="2301"/>
      <c r="E122" s="2301"/>
      <c r="F122" s="2301"/>
      <c r="G122" s="2301"/>
      <c r="H122" s="2301"/>
      <c r="I122" s="2301"/>
      <c r="J122" s="2301"/>
      <c r="K122" s="2302"/>
      <c r="L122" s="597">
        <f>SUM(L118:L121)</f>
        <v>4419918</v>
      </c>
    </row>
    <row r="123" spans="1:12" ht="17.25" customHeight="1">
      <c r="A123" s="2303"/>
      <c r="B123" s="2278"/>
      <c r="C123" s="2278"/>
      <c r="D123" s="2278"/>
      <c r="E123" s="2278"/>
      <c r="F123" s="2278"/>
      <c r="G123" s="2278"/>
      <c r="H123" s="2278"/>
      <c r="I123" s="2278"/>
      <c r="J123" s="2278"/>
      <c r="K123" s="2278"/>
      <c r="L123" s="2279"/>
    </row>
    <row r="124" spans="1:12">
      <c r="A124" s="2304"/>
      <c r="B124" s="2288"/>
      <c r="C124" s="2288"/>
      <c r="D124" s="2288"/>
      <c r="E124" s="2288"/>
      <c r="F124" s="2288"/>
      <c r="G124" s="2288"/>
      <c r="H124" s="2288"/>
      <c r="I124" s="2288"/>
      <c r="J124" s="2288"/>
      <c r="K124" s="2288"/>
      <c r="L124" s="2289"/>
    </row>
    <row r="125" spans="1:12">
      <c r="A125" s="2235" t="s">
        <v>1713</v>
      </c>
      <c r="B125" s="2236"/>
      <c r="C125" s="2236"/>
      <c r="D125" s="2236"/>
      <c r="E125" s="2236"/>
      <c r="F125" s="2236"/>
      <c r="G125" s="2236"/>
      <c r="H125" s="2236"/>
      <c r="I125" s="2236"/>
      <c r="J125" s="2236"/>
      <c r="K125" s="2237"/>
      <c r="L125" s="1937">
        <v>0</v>
      </c>
    </row>
    <row r="126" spans="1:12">
      <c r="A126" s="2235" t="s">
        <v>1693</v>
      </c>
      <c r="B126" s="2236"/>
      <c r="C126" s="2236"/>
      <c r="D126" s="2236"/>
      <c r="E126" s="2236"/>
      <c r="F126" s="2236"/>
      <c r="G126" s="2236"/>
      <c r="H126" s="2236"/>
      <c r="I126" s="2236"/>
      <c r="J126" s="2236"/>
      <c r="K126" s="2237"/>
      <c r="L126" s="1937">
        <v>0</v>
      </c>
    </row>
    <row r="127" spans="1:12">
      <c r="A127" s="1949"/>
      <c r="B127" s="1949"/>
      <c r="C127" s="1949"/>
      <c r="D127" s="1949"/>
      <c r="E127" s="1949"/>
      <c r="F127" s="1949"/>
      <c r="G127" s="1949"/>
      <c r="H127" s="1949"/>
      <c r="I127" s="1949"/>
      <c r="J127" s="1949"/>
      <c r="K127" s="1949"/>
      <c r="L127" s="1925"/>
    </row>
    <row r="128" spans="1:12">
      <c r="A128" s="1949"/>
      <c r="B128" s="1949"/>
      <c r="C128" s="1949"/>
      <c r="D128" s="1949"/>
      <c r="E128" s="1949"/>
      <c r="F128" s="1949"/>
      <c r="G128" s="1949"/>
      <c r="H128" s="1949"/>
      <c r="I128" s="1949"/>
      <c r="J128" s="1949"/>
      <c r="K128" s="1949"/>
      <c r="L128" s="1925"/>
    </row>
    <row r="129" spans="1:9">
      <c r="A129" s="2417" t="s">
        <v>55</v>
      </c>
      <c r="B129" s="2349" t="s">
        <v>43</v>
      </c>
      <c r="C129" s="2349"/>
      <c r="D129" s="2349"/>
      <c r="E129" s="2349"/>
      <c r="F129" s="2349"/>
      <c r="G129" s="2349"/>
      <c r="H129" s="2349"/>
    </row>
    <row r="130" spans="1:9">
      <c r="A130" s="2418"/>
      <c r="B130" s="2350"/>
      <c r="C130" s="2350"/>
      <c r="D130" s="2350"/>
      <c r="E130" s="2350"/>
      <c r="F130" s="2350"/>
      <c r="G130" s="2350"/>
      <c r="H130" s="2350"/>
    </row>
    <row r="131" spans="1:9">
      <c r="A131" s="2412" t="s">
        <v>466</v>
      </c>
      <c r="B131" s="2412" t="s">
        <v>467</v>
      </c>
      <c r="C131" s="2412"/>
      <c r="D131" s="2412"/>
      <c r="E131" s="2412"/>
      <c r="F131" s="2308"/>
      <c r="G131" s="2416" t="s">
        <v>468</v>
      </c>
      <c r="H131" s="2416"/>
      <c r="I131" s="1950"/>
    </row>
    <row r="132" spans="1:9">
      <c r="A132" s="2412"/>
      <c r="B132" s="2412"/>
      <c r="C132" s="2412"/>
      <c r="D132" s="2412"/>
      <c r="E132" s="2412"/>
      <c r="F132" s="2310"/>
      <c r="G132" s="2416"/>
      <c r="H132" s="2416"/>
      <c r="I132" s="1951"/>
    </row>
    <row r="133" spans="1:9" ht="15.75" customHeight="1">
      <c r="A133" s="2351" t="s">
        <v>470</v>
      </c>
      <c r="B133" s="2351"/>
      <c r="C133" s="2351"/>
      <c r="D133" s="2351"/>
      <c r="E133" s="2351"/>
      <c r="F133" s="2351"/>
      <c r="G133" s="2351"/>
      <c r="H133" s="2351"/>
    </row>
    <row r="134" spans="1:9">
      <c r="A134" s="2286"/>
      <c r="B134" s="2286"/>
      <c r="C134" s="2286"/>
      <c r="D134" s="2286"/>
      <c r="E134" s="2286"/>
      <c r="F134" s="2286"/>
      <c r="G134" s="2286"/>
      <c r="H134" s="2286"/>
      <c r="I134" s="1952"/>
    </row>
    <row r="135" spans="1:9">
      <c r="A135" s="2308"/>
      <c r="B135" s="2355" t="s">
        <v>402</v>
      </c>
      <c r="C135" s="2356"/>
      <c r="D135" s="2356"/>
      <c r="E135" s="2356"/>
      <c r="F135" s="2356"/>
      <c r="G135" s="2357"/>
      <c r="H135" s="588"/>
    </row>
    <row r="136" spans="1:9" ht="15.75" thickBot="1">
      <c r="A136" s="2309"/>
      <c r="B136" s="588"/>
      <c r="C136" s="2375" t="s">
        <v>482</v>
      </c>
      <c r="D136" s="2376"/>
      <c r="E136" s="2376"/>
      <c r="F136" s="2376"/>
      <c r="G136" s="2377"/>
      <c r="H136" s="590">
        <v>0</v>
      </c>
    </row>
    <row r="137" spans="1:9" ht="15.75" thickTop="1">
      <c r="A137" s="2309"/>
      <c r="B137" s="588"/>
      <c r="C137" s="2352" t="s">
        <v>168</v>
      </c>
      <c r="D137" s="2353"/>
      <c r="E137" s="2353"/>
      <c r="F137" s="2353"/>
      <c r="G137" s="2354"/>
      <c r="H137" s="591">
        <f>SUM(H136)</f>
        <v>0</v>
      </c>
    </row>
    <row r="138" spans="1:9">
      <c r="A138" s="2309"/>
      <c r="B138" s="594"/>
      <c r="C138" s="594"/>
      <c r="D138" s="594"/>
      <c r="E138" s="594"/>
      <c r="F138" s="594"/>
      <c r="G138" s="594"/>
      <c r="H138" s="594"/>
      <c r="I138" s="1925"/>
    </row>
    <row r="139" spans="1:9">
      <c r="A139" s="2309"/>
      <c r="B139" s="594"/>
      <c r="C139" s="594"/>
      <c r="D139" s="594"/>
      <c r="E139" s="594"/>
      <c r="F139" s="594"/>
      <c r="G139" s="594"/>
      <c r="H139" s="594"/>
      <c r="I139" s="1925"/>
    </row>
    <row r="140" spans="1:9">
      <c r="A140" s="2309"/>
      <c r="B140" s="2355" t="s">
        <v>472</v>
      </c>
      <c r="C140" s="2356"/>
      <c r="D140" s="2356"/>
      <c r="E140" s="2356"/>
      <c r="F140" s="2356"/>
      <c r="G140" s="2357"/>
      <c r="H140" s="588"/>
    </row>
    <row r="141" spans="1:9">
      <c r="A141" s="2309"/>
      <c r="B141" s="588"/>
      <c r="C141" s="2419" t="s">
        <v>483</v>
      </c>
      <c r="D141" s="2420"/>
      <c r="E141" s="2420"/>
      <c r="F141" s="2420"/>
      <c r="G141" s="2421"/>
      <c r="H141" s="592">
        <v>2150</v>
      </c>
    </row>
    <row r="142" spans="1:9">
      <c r="A142" s="2309"/>
      <c r="B142" s="588"/>
      <c r="C142" s="2378" t="s">
        <v>484</v>
      </c>
      <c r="D142" s="2379"/>
      <c r="E142" s="2379"/>
      <c r="F142" s="2379"/>
      <c r="G142" s="2380"/>
      <c r="H142" s="592">
        <v>165757</v>
      </c>
    </row>
    <row r="143" spans="1:9" ht="15.75" thickBot="1">
      <c r="A143" s="2309"/>
      <c r="B143" s="588"/>
      <c r="C143" s="2422" t="s">
        <v>485</v>
      </c>
      <c r="D143" s="2423"/>
      <c r="E143" s="2424"/>
      <c r="F143" s="598"/>
      <c r="G143" s="589"/>
      <c r="H143" s="590">
        <v>894000</v>
      </c>
    </row>
    <row r="144" spans="1:9" ht="15.75" thickTop="1">
      <c r="A144" s="2310"/>
      <c r="B144" s="588"/>
      <c r="C144" s="2352" t="s">
        <v>168</v>
      </c>
      <c r="D144" s="2353"/>
      <c r="E144" s="2353"/>
      <c r="F144" s="2353"/>
      <c r="G144" s="2354"/>
      <c r="H144" s="591">
        <f>SUM(H141:H143)</f>
        <v>1061907</v>
      </c>
    </row>
    <row r="145" spans="1:12">
      <c r="A145" s="1925"/>
      <c r="B145" s="1925"/>
      <c r="C145" s="1925"/>
      <c r="D145" s="1925"/>
      <c r="E145" s="1925"/>
      <c r="F145" s="1925"/>
      <c r="G145" s="1925"/>
      <c r="H145" s="1925"/>
      <c r="I145" s="1925"/>
    </row>
    <row r="146" spans="1:12">
      <c r="A146" s="1925"/>
      <c r="B146" s="1925"/>
      <c r="C146" s="1925"/>
      <c r="D146" s="1925"/>
      <c r="E146" s="1925"/>
      <c r="F146" s="1925"/>
      <c r="G146" s="1925"/>
      <c r="H146" s="1925"/>
      <c r="I146" s="1925"/>
    </row>
    <row r="147" spans="1:12" ht="25.5" customHeight="1" thickBot="1">
      <c r="A147" s="466" t="s">
        <v>475</v>
      </c>
      <c r="B147" s="466"/>
      <c r="C147" s="466"/>
      <c r="D147" s="466"/>
      <c r="E147" s="466"/>
      <c r="F147" s="466"/>
      <c r="G147" s="408"/>
      <c r="H147" s="1945">
        <f>SUM(H137+H144)</f>
        <v>1061907</v>
      </c>
      <c r="I147" s="409"/>
    </row>
    <row r="148" spans="1:12" ht="15.75" thickTop="1"/>
    <row r="149" spans="1:12" ht="15.75" thickBot="1">
      <c r="A149" s="599" t="s">
        <v>128</v>
      </c>
      <c r="B149" s="599"/>
      <c r="C149" s="599"/>
      <c r="D149" s="599"/>
      <c r="E149" s="599"/>
      <c r="F149" s="599"/>
      <c r="G149" s="600"/>
      <c r="H149" s="1948">
        <f>SUM(H147:H148)</f>
        <v>1061907</v>
      </c>
      <c r="I149" s="409"/>
    </row>
    <row r="150" spans="1:12" ht="15.75" thickTop="1">
      <c r="A150" s="1953"/>
      <c r="B150" s="1953"/>
      <c r="C150" s="1953"/>
      <c r="D150" s="1953"/>
      <c r="E150" s="1953"/>
      <c r="F150" s="1953"/>
      <c r="G150" s="1954"/>
      <c r="H150" s="1933"/>
    </row>
    <row r="151" spans="1:12" ht="15.75" customHeight="1">
      <c r="A151" s="2343" t="s">
        <v>1714</v>
      </c>
      <c r="B151" s="2344"/>
      <c r="C151" s="2344"/>
      <c r="D151" s="2344"/>
      <c r="E151" s="2344"/>
      <c r="F151" s="2344"/>
      <c r="G151" s="2344"/>
      <c r="H151" s="2344"/>
      <c r="I151" s="2344"/>
      <c r="J151" s="2344"/>
      <c r="K151" s="2344"/>
      <c r="L151" s="2345"/>
    </row>
    <row r="152" spans="1:12" ht="15.75" customHeight="1">
      <c r="A152" s="2346"/>
      <c r="B152" s="2347"/>
      <c r="C152" s="2347"/>
      <c r="D152" s="2347"/>
      <c r="E152" s="2347"/>
      <c r="F152" s="2347"/>
      <c r="G152" s="2347"/>
      <c r="H152" s="2347"/>
      <c r="I152" s="2347"/>
      <c r="J152" s="2347"/>
      <c r="K152" s="2347"/>
      <c r="L152" s="2348"/>
    </row>
    <row r="153" spans="1:12">
      <c r="A153" s="2235" t="s">
        <v>1715</v>
      </c>
      <c r="B153" s="2236"/>
      <c r="C153" s="2236"/>
      <c r="D153" s="2236"/>
      <c r="E153" s="2236"/>
      <c r="F153" s="2236"/>
      <c r="G153" s="2236"/>
      <c r="H153" s="2236"/>
      <c r="I153" s="2236"/>
      <c r="J153" s="2236"/>
      <c r="K153" s="2237"/>
      <c r="L153" s="1938">
        <v>46800</v>
      </c>
    </row>
    <row r="154" spans="1:12">
      <c r="A154" s="2235" t="s">
        <v>1697</v>
      </c>
      <c r="B154" s="2236"/>
      <c r="C154" s="2236"/>
      <c r="D154" s="2236"/>
      <c r="E154" s="2236"/>
      <c r="F154" s="2236"/>
      <c r="G154" s="2236"/>
      <c r="H154" s="2236"/>
      <c r="I154" s="2236"/>
      <c r="J154" s="2236"/>
      <c r="K154" s="2237"/>
      <c r="L154" s="1937">
        <v>0</v>
      </c>
    </row>
    <row r="155" spans="1:12">
      <c r="A155" s="2235" t="s">
        <v>1698</v>
      </c>
      <c r="B155" s="2236"/>
      <c r="C155" s="2236"/>
      <c r="D155" s="2236"/>
      <c r="E155" s="2236"/>
      <c r="F155" s="2236"/>
      <c r="G155" s="2236"/>
      <c r="H155" s="2236"/>
      <c r="I155" s="2236"/>
      <c r="J155" s="2236"/>
      <c r="K155" s="2237"/>
      <c r="L155" s="1937">
        <v>0</v>
      </c>
    </row>
    <row r="156" spans="1:12">
      <c r="A156" s="2235" t="s">
        <v>1716</v>
      </c>
      <c r="B156" s="2236"/>
      <c r="C156" s="2236"/>
      <c r="D156" s="2236"/>
      <c r="E156" s="2236"/>
      <c r="F156" s="2236"/>
      <c r="G156" s="2236"/>
      <c r="H156" s="2236"/>
      <c r="I156" s="2236"/>
      <c r="J156" s="2236"/>
      <c r="K156" s="2237"/>
      <c r="L156" s="1938">
        <v>5243455</v>
      </c>
    </row>
    <row r="157" spans="1:12">
      <c r="A157" s="2235" t="s">
        <v>1717</v>
      </c>
      <c r="B157" s="2236"/>
      <c r="C157" s="2236"/>
      <c r="D157" s="2236"/>
      <c r="E157" s="2236"/>
      <c r="F157" s="2236"/>
      <c r="G157" s="2236"/>
      <c r="H157" s="2236"/>
      <c r="I157" s="2236"/>
      <c r="J157" s="2236"/>
      <c r="K157" s="2237"/>
      <c r="L157" s="1938">
        <v>2575838</v>
      </c>
    </row>
    <row r="158" spans="1:12">
      <c r="A158" s="2235" t="s">
        <v>1718</v>
      </c>
      <c r="B158" s="2236"/>
      <c r="C158" s="2236"/>
      <c r="D158" s="2236"/>
      <c r="E158" s="2236"/>
      <c r="F158" s="2236"/>
      <c r="G158" s="2236"/>
      <c r="H158" s="2236"/>
      <c r="I158" s="2236"/>
      <c r="J158" s="2236"/>
      <c r="K158" s="2237"/>
      <c r="L158" s="1938">
        <v>27560</v>
      </c>
    </row>
    <row r="159" spans="1:12" ht="16.5" customHeight="1" thickBot="1">
      <c r="A159" s="2297"/>
      <c r="B159" s="2298"/>
      <c r="C159" s="2298"/>
      <c r="D159" s="2298"/>
      <c r="E159" s="2298"/>
      <c r="F159" s="2298"/>
      <c r="G159" s="2298"/>
      <c r="H159" s="2298"/>
      <c r="I159" s="2298"/>
      <c r="J159" s="2298"/>
      <c r="K159" s="2298"/>
      <c r="L159" s="2299"/>
    </row>
    <row r="160" spans="1:12" ht="16.5" customHeight="1" thickTop="1">
      <c r="A160" s="2300" t="s">
        <v>168</v>
      </c>
      <c r="B160" s="2301"/>
      <c r="C160" s="2301"/>
      <c r="D160" s="2301"/>
      <c r="E160" s="2301"/>
      <c r="F160" s="2301"/>
      <c r="G160" s="2301"/>
      <c r="H160" s="2301"/>
      <c r="I160" s="2301"/>
      <c r="J160" s="2301"/>
      <c r="K160" s="2302"/>
      <c r="L160" s="596">
        <f>SUM(L153:L159)</f>
        <v>7893653</v>
      </c>
    </row>
    <row r="161" spans="1:12" ht="16.5" customHeight="1">
      <c r="A161" s="2235" t="s">
        <v>1703</v>
      </c>
      <c r="B161" s="2236"/>
      <c r="C161" s="2236"/>
      <c r="D161" s="2236"/>
      <c r="E161" s="2236"/>
      <c r="F161" s="2236"/>
      <c r="G161" s="2236"/>
      <c r="H161" s="2236"/>
      <c r="I161" s="2236"/>
      <c r="J161" s="2236"/>
      <c r="K161" s="2237"/>
      <c r="L161" s="1938">
        <v>2570155</v>
      </c>
    </row>
    <row r="162" spans="1:12" ht="16.5" customHeight="1">
      <c r="A162" s="2235" t="s">
        <v>1704</v>
      </c>
      <c r="B162" s="2236"/>
      <c r="C162" s="2236"/>
      <c r="D162" s="2236"/>
      <c r="E162" s="2236"/>
      <c r="F162" s="2236"/>
      <c r="G162" s="2236"/>
      <c r="H162" s="2236"/>
      <c r="I162" s="2236"/>
      <c r="J162" s="2236"/>
      <c r="K162" s="2237"/>
      <c r="L162" s="1938">
        <v>4024989</v>
      </c>
    </row>
    <row r="163" spans="1:12" ht="16.5" customHeight="1">
      <c r="A163" s="2235" t="s">
        <v>1719</v>
      </c>
      <c r="B163" s="2236"/>
      <c r="C163" s="2236"/>
      <c r="D163" s="2236"/>
      <c r="E163" s="2236"/>
      <c r="F163" s="2236"/>
      <c r="G163" s="2236"/>
      <c r="H163" s="2236"/>
      <c r="I163" s="2236"/>
      <c r="J163" s="2236"/>
      <c r="K163" s="2237"/>
      <c r="L163" s="1938">
        <v>10502932</v>
      </c>
    </row>
    <row r="164" spans="1:12" ht="16.5" customHeight="1">
      <c r="A164" s="2235" t="s">
        <v>1720</v>
      </c>
      <c r="B164" s="2236"/>
      <c r="C164" s="2236"/>
      <c r="D164" s="2236"/>
      <c r="E164" s="2236"/>
      <c r="F164" s="2236"/>
      <c r="G164" s="2236"/>
      <c r="H164" s="2236"/>
      <c r="I164" s="2236"/>
      <c r="J164" s="2236"/>
      <c r="K164" s="2237"/>
      <c r="L164" s="1938">
        <v>234833</v>
      </c>
    </row>
    <row r="165" spans="1:12" ht="16.5" customHeight="1">
      <c r="A165" s="2235" t="s">
        <v>1688</v>
      </c>
      <c r="B165" s="2236"/>
      <c r="C165" s="2236"/>
      <c r="D165" s="2236"/>
      <c r="E165" s="2236"/>
      <c r="F165" s="2236"/>
      <c r="G165" s="2236"/>
      <c r="H165" s="2236"/>
      <c r="I165" s="2236"/>
      <c r="J165" s="2236"/>
      <c r="K165" s="2237"/>
      <c r="L165" s="1938">
        <v>14759085</v>
      </c>
    </row>
    <row r="166" spans="1:12" ht="16.5" customHeight="1">
      <c r="A166" s="2235" t="s">
        <v>1689</v>
      </c>
      <c r="B166" s="2236"/>
      <c r="C166" s="2236"/>
      <c r="D166" s="2236"/>
      <c r="E166" s="2236"/>
      <c r="F166" s="2236"/>
      <c r="G166" s="2236"/>
      <c r="H166" s="2236"/>
      <c r="I166" s="2236"/>
      <c r="J166" s="2236"/>
      <c r="K166" s="2237"/>
      <c r="L166" s="1938">
        <v>558000</v>
      </c>
    </row>
    <row r="167" spans="1:12" ht="16.5" customHeight="1">
      <c r="A167" s="2235" t="s">
        <v>1721</v>
      </c>
      <c r="B167" s="2236"/>
      <c r="C167" s="2236"/>
      <c r="D167" s="2236"/>
      <c r="E167" s="2236"/>
      <c r="F167" s="2236"/>
      <c r="G167" s="2236"/>
      <c r="H167" s="2236"/>
      <c r="I167" s="2236"/>
      <c r="J167" s="2236"/>
      <c r="K167" s="2237"/>
      <c r="L167" s="1938">
        <v>758400</v>
      </c>
    </row>
    <row r="168" spans="1:12" ht="15.75" thickBot="1">
      <c r="A168" s="2297"/>
      <c r="B168" s="2298"/>
      <c r="C168" s="2298"/>
      <c r="D168" s="2298"/>
      <c r="E168" s="2298"/>
      <c r="F168" s="2298"/>
      <c r="G168" s="2298"/>
      <c r="H168" s="2298"/>
      <c r="I168" s="2298"/>
      <c r="J168" s="2298"/>
      <c r="K168" s="2298"/>
      <c r="L168" s="2299"/>
    </row>
    <row r="169" spans="1:12" ht="15.75" thickTop="1">
      <c r="A169" s="2300" t="s">
        <v>168</v>
      </c>
      <c r="B169" s="2301"/>
      <c r="C169" s="2301"/>
      <c r="D169" s="2301"/>
      <c r="E169" s="2301"/>
      <c r="F169" s="2301"/>
      <c r="G169" s="2301"/>
      <c r="H169" s="2301"/>
      <c r="I169" s="2301"/>
      <c r="J169" s="2301"/>
      <c r="K169" s="2302"/>
      <c r="L169" s="596">
        <f>SUM(L161:L168)</f>
        <v>33408394</v>
      </c>
    </row>
    <row r="170" spans="1:12">
      <c r="A170" s="2303"/>
      <c r="B170" s="2278"/>
      <c r="C170" s="2278"/>
      <c r="D170" s="2278"/>
      <c r="E170" s="2278"/>
      <c r="F170" s="2278"/>
      <c r="G170" s="2278"/>
      <c r="H170" s="2278"/>
      <c r="I170" s="2278"/>
      <c r="J170" s="2278"/>
      <c r="K170" s="2278"/>
      <c r="L170" s="2279"/>
    </row>
    <row r="171" spans="1:12">
      <c r="A171" s="2304"/>
      <c r="B171" s="2288"/>
      <c r="C171" s="2288"/>
      <c r="D171" s="2288"/>
      <c r="E171" s="2288"/>
      <c r="F171" s="2288"/>
      <c r="G171" s="2288"/>
      <c r="H171" s="2288"/>
      <c r="I171" s="2288"/>
      <c r="J171" s="2288"/>
      <c r="K171" s="2288"/>
      <c r="L171" s="2289"/>
    </row>
    <row r="172" spans="1:12">
      <c r="A172" s="2235" t="s">
        <v>1713</v>
      </c>
      <c r="B172" s="2236"/>
      <c r="C172" s="2236"/>
      <c r="D172" s="2236"/>
      <c r="E172" s="2236"/>
      <c r="F172" s="2236"/>
      <c r="G172" s="2236"/>
      <c r="H172" s="2236"/>
      <c r="I172" s="2236"/>
      <c r="J172" s="2236"/>
      <c r="K172" s="2237"/>
      <c r="L172" s="1937">
        <v>0</v>
      </c>
    </row>
    <row r="173" spans="1:12">
      <c r="A173" s="2235" t="s">
        <v>1693</v>
      </c>
      <c r="B173" s="2236"/>
      <c r="C173" s="2236"/>
      <c r="D173" s="2236"/>
      <c r="E173" s="2236"/>
      <c r="F173" s="2236"/>
      <c r="G173" s="2236"/>
      <c r="H173" s="2236"/>
      <c r="I173" s="2236"/>
      <c r="J173" s="2236"/>
      <c r="K173" s="2237"/>
      <c r="L173" s="1937">
        <v>0</v>
      </c>
    </row>
    <row r="174" spans="1:12">
      <c r="A174" s="1955"/>
      <c r="B174" s="1955"/>
      <c r="C174" s="1955"/>
      <c r="D174" s="1955"/>
      <c r="E174" s="1955"/>
      <c r="F174" s="1955"/>
      <c r="G174" s="1955"/>
      <c r="H174" s="1955"/>
      <c r="I174" s="1955"/>
      <c r="J174" s="1955"/>
      <c r="K174" s="1955"/>
      <c r="L174" s="1955"/>
    </row>
    <row r="175" spans="1:12">
      <c r="A175" s="1955"/>
      <c r="B175" s="1955"/>
      <c r="C175" s="1955"/>
      <c r="D175" s="1955"/>
      <c r="E175" s="1955"/>
      <c r="F175" s="1955"/>
      <c r="G175" s="1955"/>
      <c r="H175" s="1955"/>
      <c r="I175" s="1955"/>
      <c r="J175" s="1955"/>
      <c r="K175" s="1955"/>
      <c r="L175" s="1955"/>
    </row>
    <row r="176" spans="1:12">
      <c r="A176" s="2372" t="s">
        <v>58</v>
      </c>
      <c r="B176" s="2358" t="s">
        <v>44</v>
      </c>
      <c r="C176" s="2349"/>
      <c r="D176" s="2349"/>
      <c r="E176" s="2349"/>
      <c r="F176" s="2349"/>
      <c r="G176" s="2349"/>
      <c r="H176" s="2349"/>
      <c r="I176" s="2359"/>
    </row>
    <row r="177" spans="1:9">
      <c r="A177" s="2373"/>
      <c r="B177" s="2360"/>
      <c r="C177" s="2361"/>
      <c r="D177" s="2361"/>
      <c r="E177" s="2361"/>
      <c r="F177" s="2361"/>
      <c r="G177" s="2361"/>
      <c r="H177" s="2361"/>
      <c r="I177" s="2362"/>
    </row>
    <row r="178" spans="1:9">
      <c r="A178" s="2412" t="s">
        <v>486</v>
      </c>
      <c r="B178" s="2412" t="s">
        <v>467</v>
      </c>
      <c r="C178" s="2412"/>
      <c r="D178" s="2412"/>
      <c r="E178" s="2412"/>
      <c r="F178" s="2411"/>
      <c r="G178" s="2412" t="s">
        <v>468</v>
      </c>
      <c r="H178" s="2412"/>
      <c r="I178" s="609"/>
    </row>
    <row r="179" spans="1:9">
      <c r="A179" s="2412"/>
      <c r="B179" s="2412"/>
      <c r="C179" s="2412"/>
      <c r="D179" s="2412"/>
      <c r="E179" s="2412"/>
      <c r="F179" s="2411"/>
      <c r="G179" s="2412"/>
      <c r="H179" s="2412"/>
      <c r="I179" s="609"/>
    </row>
    <row r="180" spans="1:9">
      <c r="A180" s="2282" t="s">
        <v>487</v>
      </c>
      <c r="B180" s="2283"/>
      <c r="C180" s="2283"/>
      <c r="D180" s="2283"/>
      <c r="E180" s="2283"/>
      <c r="F180" s="2283"/>
      <c r="G180" s="2283"/>
      <c r="H180" s="2284"/>
      <c r="I180" s="1925"/>
    </row>
    <row r="181" spans="1:9" ht="15.75" customHeight="1">
      <c r="A181" s="2285"/>
      <c r="B181" s="2286"/>
      <c r="C181" s="2286"/>
      <c r="D181" s="2286"/>
      <c r="E181" s="2286"/>
      <c r="F181" s="2286"/>
      <c r="G181" s="2286"/>
      <c r="H181" s="2287"/>
    </row>
    <row r="182" spans="1:9" ht="15" customHeight="1">
      <c r="A182" s="2290" t="s">
        <v>488</v>
      </c>
      <c r="B182" s="2291"/>
      <c r="C182" s="2291"/>
      <c r="D182" s="2291"/>
      <c r="E182" s="2291"/>
      <c r="F182" s="2291"/>
      <c r="G182" s="2291"/>
      <c r="H182" s="2292"/>
      <c r="I182" s="1925"/>
    </row>
    <row r="183" spans="1:9" ht="15.75" customHeight="1">
      <c r="A183" s="2293"/>
      <c r="B183" s="2294"/>
      <c r="C183" s="2294"/>
      <c r="D183" s="2294"/>
      <c r="E183" s="2294"/>
      <c r="F183" s="2294"/>
      <c r="G183" s="2294"/>
      <c r="H183" s="2295"/>
      <c r="I183" s="1925"/>
    </row>
    <row r="184" spans="1:9">
      <c r="A184" s="2256" t="s">
        <v>466</v>
      </c>
      <c r="B184" s="2258" t="s">
        <v>467</v>
      </c>
      <c r="C184" s="2259"/>
      <c r="D184" s="2259"/>
      <c r="E184" s="2256"/>
      <c r="F184" s="2262" t="s">
        <v>1929</v>
      </c>
      <c r="G184" s="2258" t="s">
        <v>1484</v>
      </c>
      <c r="H184" s="2256"/>
      <c r="I184" s="1925"/>
    </row>
    <row r="185" spans="1:9">
      <c r="A185" s="2257"/>
      <c r="B185" s="2260"/>
      <c r="C185" s="2261"/>
      <c r="D185" s="2261"/>
      <c r="E185" s="2257"/>
      <c r="F185" s="2263"/>
      <c r="G185" s="2260"/>
      <c r="H185" s="2257"/>
      <c r="I185" s="1925"/>
    </row>
    <row r="186" spans="1:9">
      <c r="A186" s="2278"/>
      <c r="B186" s="2279"/>
      <c r="C186" s="2296" t="s">
        <v>489</v>
      </c>
      <c r="D186" s="2272"/>
      <c r="E186" s="2272"/>
      <c r="F186" s="2272"/>
      <c r="G186" s="2272"/>
      <c r="H186" s="2273"/>
      <c r="I186" s="1925"/>
    </row>
    <row r="187" spans="1:9">
      <c r="A187" s="2280"/>
      <c r="B187" s="2281"/>
      <c r="C187" s="2247" t="s">
        <v>1756</v>
      </c>
      <c r="D187" s="2248"/>
      <c r="E187" s="2249"/>
      <c r="F187" s="1733" t="s">
        <v>1757</v>
      </c>
      <c r="G187" s="548"/>
      <c r="H187" s="559">
        <v>116952480</v>
      </c>
      <c r="I187" s="1925"/>
    </row>
    <row r="188" spans="1:9">
      <c r="A188" s="2280"/>
      <c r="B188" s="2281"/>
      <c r="C188" s="2247" t="s">
        <v>1756</v>
      </c>
      <c r="D188" s="2248"/>
      <c r="E188" s="2249"/>
      <c r="F188" s="1733" t="s">
        <v>1758</v>
      </c>
      <c r="G188" s="548"/>
      <c r="H188" s="559">
        <v>1000000</v>
      </c>
      <c r="I188" s="1925"/>
    </row>
    <row r="189" spans="1:9">
      <c r="A189" s="2280"/>
      <c r="B189" s="2281"/>
      <c r="C189" s="2247" t="s">
        <v>1756</v>
      </c>
      <c r="D189" s="2248"/>
      <c r="E189" s="2249"/>
      <c r="F189" s="1733" t="s">
        <v>1759</v>
      </c>
      <c r="G189" s="548"/>
      <c r="H189" s="559">
        <v>1000000</v>
      </c>
      <c r="I189" s="1925"/>
    </row>
    <row r="190" spans="1:9">
      <c r="A190" s="2280"/>
      <c r="B190" s="2281"/>
      <c r="C190" s="2247" t="s">
        <v>1756</v>
      </c>
      <c r="D190" s="2248"/>
      <c r="E190" s="2249"/>
      <c r="F190" s="1733" t="s">
        <v>1760</v>
      </c>
      <c r="G190" s="548"/>
      <c r="H190" s="559">
        <v>2497000</v>
      </c>
      <c r="I190" s="1925"/>
    </row>
    <row r="191" spans="1:9">
      <c r="A191" s="2280"/>
      <c r="B191" s="2281"/>
      <c r="C191" s="2247" t="s">
        <v>1756</v>
      </c>
      <c r="D191" s="2248"/>
      <c r="E191" s="2249"/>
      <c r="F191" s="1733" t="s">
        <v>1761</v>
      </c>
      <c r="G191" s="548"/>
      <c r="H191" s="559">
        <v>13000000</v>
      </c>
      <c r="I191" s="1925"/>
    </row>
    <row r="192" spans="1:9">
      <c r="A192" s="2280"/>
      <c r="B192" s="2281"/>
      <c r="C192" s="2247" t="s">
        <v>1756</v>
      </c>
      <c r="D192" s="2248"/>
      <c r="E192" s="2249"/>
      <c r="F192" s="1733" t="s">
        <v>1762</v>
      </c>
      <c r="G192" s="548"/>
      <c r="H192" s="559">
        <v>11385000</v>
      </c>
      <c r="I192" s="1925"/>
    </row>
    <row r="193" spans="1:9">
      <c r="A193" s="2280"/>
      <c r="B193" s="2281"/>
      <c r="C193" s="2247" t="s">
        <v>1756</v>
      </c>
      <c r="D193" s="2248"/>
      <c r="E193" s="2249"/>
      <c r="F193" s="1733" t="s">
        <v>1763</v>
      </c>
      <c r="G193" s="548"/>
      <c r="H193" s="559">
        <v>21000000</v>
      </c>
      <c r="I193" s="1925"/>
    </row>
    <row r="194" spans="1:9">
      <c r="A194" s="2280"/>
      <c r="B194" s="2281"/>
      <c r="C194" s="2247" t="s">
        <v>1616</v>
      </c>
      <c r="D194" s="2248"/>
      <c r="E194" s="2249"/>
      <c r="F194" s="1733" t="s">
        <v>1617</v>
      </c>
      <c r="G194" s="548"/>
      <c r="H194" s="559">
        <v>5042250</v>
      </c>
      <c r="I194" s="1925"/>
    </row>
    <row r="195" spans="1:9">
      <c r="A195" s="2280"/>
      <c r="B195" s="2281"/>
      <c r="C195" s="2247" t="s">
        <v>1616</v>
      </c>
      <c r="D195" s="2248"/>
      <c r="E195" s="2249"/>
      <c r="F195" s="1733" t="s">
        <v>1618</v>
      </c>
      <c r="G195" s="548"/>
      <c r="H195" s="559">
        <v>9456750</v>
      </c>
      <c r="I195" s="1925"/>
    </row>
    <row r="196" spans="1:9">
      <c r="A196" s="2280"/>
      <c r="B196" s="2281"/>
      <c r="C196" s="2247" t="s">
        <v>1616</v>
      </c>
      <c r="D196" s="2248"/>
      <c r="E196" s="2249"/>
      <c r="F196" s="1733" t="s">
        <v>1619</v>
      </c>
      <c r="G196" s="548"/>
      <c r="H196" s="559">
        <v>2751000</v>
      </c>
      <c r="I196" s="1925"/>
    </row>
    <row r="197" spans="1:9">
      <c r="A197" s="2280"/>
      <c r="B197" s="2281"/>
      <c r="C197" s="2247" t="s">
        <v>1620</v>
      </c>
      <c r="D197" s="2248"/>
      <c r="E197" s="2249"/>
      <c r="F197" s="1733" t="s">
        <v>500</v>
      </c>
      <c r="G197" s="548"/>
      <c r="H197" s="559">
        <v>750000</v>
      </c>
      <c r="I197" s="1925"/>
    </row>
    <row r="198" spans="1:9">
      <c r="A198" s="2280"/>
      <c r="B198" s="2281"/>
      <c r="C198" s="2223" t="s">
        <v>1621</v>
      </c>
      <c r="D198" s="2224"/>
      <c r="E198" s="2225"/>
      <c r="F198" s="555" t="s">
        <v>491</v>
      </c>
      <c r="G198" s="548"/>
      <c r="H198" s="550">
        <v>142000</v>
      </c>
      <c r="I198" s="1925"/>
    </row>
    <row r="199" spans="1:9">
      <c r="A199" s="2280"/>
      <c r="B199" s="2281"/>
      <c r="C199" s="2223" t="s">
        <v>499</v>
      </c>
      <c r="D199" s="2224"/>
      <c r="E199" s="2225"/>
      <c r="F199" s="555">
        <v>1668</v>
      </c>
      <c r="G199" s="548"/>
      <c r="H199" s="550">
        <v>228000</v>
      </c>
      <c r="I199" s="1925"/>
    </row>
    <row r="200" spans="1:9">
      <c r="A200" s="2280"/>
      <c r="B200" s="2281"/>
      <c r="C200" s="2223" t="s">
        <v>1621</v>
      </c>
      <c r="D200" s="2224"/>
      <c r="E200" s="2225"/>
      <c r="F200" s="555" t="s">
        <v>493</v>
      </c>
      <c r="G200" s="548"/>
      <c r="H200" s="550">
        <v>10595000</v>
      </c>
      <c r="I200" s="1925"/>
    </row>
    <row r="201" spans="1:9">
      <c r="A201" s="2280"/>
      <c r="B201" s="2281"/>
      <c r="C201" s="2223" t="s">
        <v>1621</v>
      </c>
      <c r="D201" s="2224"/>
      <c r="E201" s="2225"/>
      <c r="F201" s="555" t="s">
        <v>492</v>
      </c>
      <c r="G201" s="548"/>
      <c r="H201" s="550">
        <v>11310000</v>
      </c>
      <c r="I201" s="1925"/>
    </row>
    <row r="202" spans="1:9">
      <c r="A202" s="2280"/>
      <c r="B202" s="2281"/>
      <c r="C202" s="2223" t="s">
        <v>1622</v>
      </c>
      <c r="D202" s="2224"/>
      <c r="E202" s="2225"/>
      <c r="F202" s="555" t="s">
        <v>490</v>
      </c>
      <c r="G202" s="548"/>
      <c r="H202" s="550">
        <v>1663425</v>
      </c>
      <c r="I202" s="1925"/>
    </row>
    <row r="203" spans="1:9">
      <c r="A203" s="2280"/>
      <c r="B203" s="2281"/>
      <c r="C203" s="2223" t="s">
        <v>1623</v>
      </c>
      <c r="D203" s="2224"/>
      <c r="E203" s="2225"/>
      <c r="F203" s="555" t="s">
        <v>498</v>
      </c>
      <c r="G203" s="548"/>
      <c r="H203" s="550">
        <v>4365000</v>
      </c>
      <c r="I203" s="1925"/>
    </row>
    <row r="204" spans="1:9">
      <c r="A204" s="2280"/>
      <c r="B204" s="2281"/>
      <c r="C204" s="2223" t="s">
        <v>496</v>
      </c>
      <c r="D204" s="2224"/>
      <c r="E204" s="2225"/>
      <c r="F204" s="556" t="s">
        <v>497</v>
      </c>
      <c r="G204" s="548"/>
      <c r="H204" s="550">
        <v>70224980</v>
      </c>
      <c r="I204" s="1925"/>
    </row>
    <row r="205" spans="1:9" ht="15.75" thickBot="1">
      <c r="A205" s="2280"/>
      <c r="B205" s="2281"/>
      <c r="C205" s="2226" t="s">
        <v>494</v>
      </c>
      <c r="D205" s="2227"/>
      <c r="E205" s="2228"/>
      <c r="F205" s="1956" t="s">
        <v>495</v>
      </c>
      <c r="G205" s="566"/>
      <c r="H205" s="569">
        <v>13763000</v>
      </c>
      <c r="I205" s="1925"/>
    </row>
    <row r="206" spans="1:9" ht="15.75" thickTop="1">
      <c r="A206" s="2288"/>
      <c r="B206" s="2289"/>
      <c r="C206" s="2305" t="s">
        <v>1930</v>
      </c>
      <c r="D206" s="2306"/>
      <c r="E206" s="2306"/>
      <c r="F206" s="2306"/>
      <c r="G206" s="2307"/>
      <c r="H206" s="565">
        <f>SUM(H187:H205)</f>
        <v>297125885</v>
      </c>
      <c r="I206" s="1925"/>
    </row>
    <row r="207" spans="1:9">
      <c r="A207" s="2256" t="s">
        <v>466</v>
      </c>
      <c r="B207" s="2258" t="s">
        <v>467</v>
      </c>
      <c r="C207" s="2259"/>
      <c r="D207" s="2259"/>
      <c r="E207" s="2256"/>
      <c r="F207" s="2262" t="s">
        <v>1929</v>
      </c>
      <c r="G207" s="2258" t="s">
        <v>1484</v>
      </c>
      <c r="H207" s="2256"/>
      <c r="I207" s="1925"/>
    </row>
    <row r="208" spans="1:9">
      <c r="A208" s="2257"/>
      <c r="B208" s="2260"/>
      <c r="C208" s="2261"/>
      <c r="D208" s="2261"/>
      <c r="E208" s="2257"/>
      <c r="F208" s="2263"/>
      <c r="G208" s="2260"/>
      <c r="H208" s="2257"/>
      <c r="I208" s="1925"/>
    </row>
    <row r="209" spans="1:9">
      <c r="A209" s="2278"/>
      <c r="B209" s="2279"/>
      <c r="C209" s="2275" t="s">
        <v>501</v>
      </c>
      <c r="D209" s="2276"/>
      <c r="E209" s="2276"/>
      <c r="F209" s="2276"/>
      <c r="G209" s="2276"/>
      <c r="H209" s="2277"/>
      <c r="I209" s="1925"/>
    </row>
    <row r="210" spans="1:9">
      <c r="A210" s="2280"/>
      <c r="B210" s="2281"/>
      <c r="C210" s="2223" t="s">
        <v>502</v>
      </c>
      <c r="D210" s="2224"/>
      <c r="E210" s="2225"/>
      <c r="F210" s="1733" t="s">
        <v>503</v>
      </c>
      <c r="G210" s="1733"/>
      <c r="H210" s="550">
        <v>1000000</v>
      </c>
      <c r="I210" s="1925"/>
    </row>
    <row r="211" spans="1:9">
      <c r="A211" s="2280"/>
      <c r="B211" s="2281"/>
      <c r="C211" s="2223" t="s">
        <v>504</v>
      </c>
      <c r="D211" s="2224"/>
      <c r="E211" s="2225"/>
      <c r="F211" s="1733">
        <v>21018</v>
      </c>
      <c r="G211" s="1733"/>
      <c r="H211" s="550">
        <v>500000</v>
      </c>
      <c r="I211" s="1925"/>
    </row>
    <row r="212" spans="1:9">
      <c r="A212" s="2280"/>
      <c r="B212" s="2281"/>
      <c r="C212" s="2223" t="s">
        <v>504</v>
      </c>
      <c r="D212" s="2224"/>
      <c r="E212" s="2225"/>
      <c r="F212" s="1733">
        <v>21019</v>
      </c>
      <c r="G212" s="1733"/>
      <c r="H212" s="550">
        <v>502000</v>
      </c>
      <c r="I212" s="1925"/>
    </row>
    <row r="213" spans="1:9">
      <c r="A213" s="2280"/>
      <c r="B213" s="2281"/>
      <c r="C213" s="2223" t="s">
        <v>504</v>
      </c>
      <c r="D213" s="2224"/>
      <c r="E213" s="2225"/>
      <c r="F213" s="1733">
        <v>21020</v>
      </c>
      <c r="G213" s="1733"/>
      <c r="H213" s="550">
        <v>501000</v>
      </c>
      <c r="I213" s="1925"/>
    </row>
    <row r="214" spans="1:9">
      <c r="A214" s="2280"/>
      <c r="B214" s="2281"/>
      <c r="C214" s="2223" t="s">
        <v>504</v>
      </c>
      <c r="D214" s="2224"/>
      <c r="E214" s="2225"/>
      <c r="F214" s="1733">
        <v>21021</v>
      </c>
      <c r="G214" s="1733"/>
      <c r="H214" s="550">
        <v>501000</v>
      </c>
      <c r="I214" s="1925"/>
    </row>
    <row r="215" spans="1:9">
      <c r="A215" s="2280"/>
      <c r="B215" s="2281"/>
      <c r="C215" s="2223" t="s">
        <v>504</v>
      </c>
      <c r="D215" s="2224"/>
      <c r="E215" s="2225"/>
      <c r="F215" s="1733">
        <v>21022</v>
      </c>
      <c r="G215" s="1733"/>
      <c r="H215" s="550">
        <v>502000</v>
      </c>
      <c r="I215" s="1925"/>
    </row>
    <row r="216" spans="1:9">
      <c r="A216" s="2280"/>
      <c r="B216" s="2281"/>
      <c r="C216" s="2223" t="s">
        <v>504</v>
      </c>
      <c r="D216" s="2224"/>
      <c r="E216" s="2225"/>
      <c r="F216" s="1733">
        <v>21023</v>
      </c>
      <c r="G216" s="1733"/>
      <c r="H216" s="550">
        <v>501000</v>
      </c>
      <c r="I216" s="1925"/>
    </row>
    <row r="217" spans="1:9">
      <c r="A217" s="2280"/>
      <c r="B217" s="2281"/>
      <c r="C217" s="2223" t="s">
        <v>504</v>
      </c>
      <c r="D217" s="2224"/>
      <c r="E217" s="2225"/>
      <c r="F217" s="1733">
        <v>21024</v>
      </c>
      <c r="G217" s="1733"/>
      <c r="H217" s="550">
        <v>692000</v>
      </c>
      <c r="I217" s="1925"/>
    </row>
    <row r="218" spans="1:9">
      <c r="A218" s="2280"/>
      <c r="B218" s="2281"/>
      <c r="C218" s="2223" t="s">
        <v>504</v>
      </c>
      <c r="D218" s="2224"/>
      <c r="E218" s="2225"/>
      <c r="F218" s="1733">
        <v>21025</v>
      </c>
      <c r="G218" s="1733"/>
      <c r="H218" s="550">
        <v>611000</v>
      </c>
      <c r="I218" s="1925"/>
    </row>
    <row r="219" spans="1:9">
      <c r="A219" s="2280"/>
      <c r="B219" s="2281"/>
      <c r="C219" s="2223" t="s">
        <v>504</v>
      </c>
      <c r="D219" s="2224"/>
      <c r="E219" s="2225"/>
      <c r="F219" s="1733">
        <v>21026</v>
      </c>
      <c r="G219" s="1733"/>
      <c r="H219" s="550">
        <v>501000</v>
      </c>
      <c r="I219" s="1925"/>
    </row>
    <row r="220" spans="1:9">
      <c r="A220" s="2280"/>
      <c r="B220" s="2281"/>
      <c r="C220" s="2223" t="s">
        <v>504</v>
      </c>
      <c r="D220" s="2224"/>
      <c r="E220" s="2225"/>
      <c r="F220" s="1733">
        <v>21027</v>
      </c>
      <c r="G220" s="1733"/>
      <c r="H220" s="550">
        <v>502000</v>
      </c>
      <c r="I220" s="1925"/>
    </row>
    <row r="221" spans="1:9">
      <c r="A221" s="2280"/>
      <c r="B221" s="2281"/>
      <c r="C221" s="2223" t="s">
        <v>504</v>
      </c>
      <c r="D221" s="2224"/>
      <c r="E221" s="2225"/>
      <c r="F221" s="1733">
        <v>21028</v>
      </c>
      <c r="G221" s="1733"/>
      <c r="H221" s="550">
        <v>501000</v>
      </c>
      <c r="I221" s="1925"/>
    </row>
    <row r="222" spans="1:9">
      <c r="A222" s="2280"/>
      <c r="B222" s="2281"/>
      <c r="C222" s="2223" t="s">
        <v>504</v>
      </c>
      <c r="D222" s="2224"/>
      <c r="E222" s="2225"/>
      <c r="F222" s="555">
        <v>21029</v>
      </c>
      <c r="G222" s="555"/>
      <c r="H222" s="550">
        <v>502000</v>
      </c>
    </row>
    <row r="223" spans="1:9">
      <c r="A223" s="2280"/>
      <c r="B223" s="2281"/>
      <c r="C223" s="2223" t="s">
        <v>504</v>
      </c>
      <c r="D223" s="2224"/>
      <c r="E223" s="2225"/>
      <c r="F223" s="1733">
        <v>21030</v>
      </c>
      <c r="G223" s="1733"/>
      <c r="H223" s="550">
        <v>500000</v>
      </c>
      <c r="I223" s="1925"/>
    </row>
    <row r="224" spans="1:9" s="404" customFormat="1">
      <c r="A224" s="2280"/>
      <c r="B224" s="2281"/>
      <c r="C224" s="2223" t="s">
        <v>504</v>
      </c>
      <c r="D224" s="2224"/>
      <c r="E224" s="2225"/>
      <c r="F224" s="1733">
        <v>21031</v>
      </c>
      <c r="G224" s="1733"/>
      <c r="H224" s="550">
        <v>502000</v>
      </c>
    </row>
    <row r="225" spans="1:9" s="404" customFormat="1">
      <c r="A225" s="2280"/>
      <c r="B225" s="2281"/>
      <c r="C225" s="2223" t="s">
        <v>504</v>
      </c>
      <c r="D225" s="2224"/>
      <c r="E225" s="2225"/>
      <c r="F225" s="1733">
        <v>21032</v>
      </c>
      <c r="G225" s="1733"/>
      <c r="H225" s="550">
        <v>462000</v>
      </c>
      <c r="I225" s="1925"/>
    </row>
    <row r="226" spans="1:9" s="404" customFormat="1" ht="15.75" customHeight="1">
      <c r="A226" s="2280"/>
      <c r="B226" s="2281"/>
      <c r="C226" s="2223" t="s">
        <v>505</v>
      </c>
      <c r="D226" s="2224"/>
      <c r="E226" s="2225"/>
      <c r="F226" s="1733" t="s">
        <v>506</v>
      </c>
      <c r="G226" s="1733"/>
      <c r="H226" s="550">
        <v>2922000</v>
      </c>
    </row>
    <row r="227" spans="1:9" s="404" customFormat="1">
      <c r="A227" s="2280"/>
      <c r="B227" s="2281"/>
      <c r="C227" s="2223" t="s">
        <v>499</v>
      </c>
      <c r="D227" s="2224"/>
      <c r="E227" s="2225"/>
      <c r="F227" s="1733" t="s">
        <v>507</v>
      </c>
      <c r="G227" s="1733"/>
      <c r="H227" s="550">
        <v>6462000</v>
      </c>
    </row>
    <row r="228" spans="1:9" s="404" customFormat="1" ht="15.75" customHeight="1">
      <c r="A228" s="2280"/>
      <c r="B228" s="2281"/>
      <c r="C228" s="2223" t="s">
        <v>508</v>
      </c>
      <c r="D228" s="2224"/>
      <c r="E228" s="2225"/>
      <c r="F228" s="1942"/>
      <c r="G228" s="1942"/>
      <c r="H228" s="550">
        <v>1056000</v>
      </c>
    </row>
    <row r="229" spans="1:9" s="404" customFormat="1">
      <c r="A229" s="2280"/>
      <c r="B229" s="2281"/>
      <c r="C229" s="2223" t="s">
        <v>509</v>
      </c>
      <c r="D229" s="2224"/>
      <c r="E229" s="2225"/>
      <c r="F229" s="548"/>
      <c r="G229" s="548"/>
      <c r="H229" s="548">
        <v>950000</v>
      </c>
    </row>
    <row r="230" spans="1:9" s="404" customFormat="1" ht="15.75" customHeight="1">
      <c r="A230" s="2280"/>
      <c r="B230" s="2281"/>
      <c r="C230" s="2223" t="s">
        <v>510</v>
      </c>
      <c r="D230" s="2224"/>
      <c r="E230" s="2225"/>
      <c r="F230" s="1733" t="s">
        <v>511</v>
      </c>
      <c r="G230" s="1733"/>
      <c r="H230" s="550">
        <v>2000000</v>
      </c>
    </row>
    <row r="231" spans="1:9" s="404" customFormat="1" ht="15.75" customHeight="1" thickBot="1">
      <c r="A231" s="2280"/>
      <c r="B231" s="2281"/>
      <c r="C231" s="2226" t="s">
        <v>510</v>
      </c>
      <c r="D231" s="2227"/>
      <c r="E231" s="2228"/>
      <c r="F231" s="1732" t="s">
        <v>512</v>
      </c>
      <c r="G231" s="1732"/>
      <c r="H231" s="569">
        <v>2000000</v>
      </c>
    </row>
    <row r="232" spans="1:9" s="404" customFormat="1" ht="15.75" thickTop="1">
      <c r="A232" s="2288"/>
      <c r="B232" s="2289"/>
      <c r="C232" s="2433" t="s">
        <v>1921</v>
      </c>
      <c r="D232" s="2434"/>
      <c r="E232" s="2434"/>
      <c r="F232" s="2435"/>
      <c r="G232" s="576" t="s">
        <v>168</v>
      </c>
      <c r="H232" s="577">
        <f>SUM(H210:H231)</f>
        <v>24170000</v>
      </c>
    </row>
    <row r="233" spans="1:9" s="404" customFormat="1">
      <c r="A233" s="2256" t="s">
        <v>466</v>
      </c>
      <c r="B233" s="2258" t="s">
        <v>467</v>
      </c>
      <c r="C233" s="2259"/>
      <c r="D233" s="2259"/>
      <c r="E233" s="2256"/>
      <c r="F233" s="2262" t="s">
        <v>1929</v>
      </c>
      <c r="G233" s="2258" t="s">
        <v>1484</v>
      </c>
      <c r="H233" s="2256"/>
      <c r="I233" s="405"/>
    </row>
    <row r="234" spans="1:9" s="404" customFormat="1">
      <c r="A234" s="2257"/>
      <c r="B234" s="2260"/>
      <c r="C234" s="2261"/>
      <c r="D234" s="2261"/>
      <c r="E234" s="2257"/>
      <c r="F234" s="2263"/>
      <c r="G234" s="2260"/>
      <c r="H234" s="2257"/>
      <c r="I234" s="406"/>
    </row>
    <row r="235" spans="1:9" s="404" customFormat="1">
      <c r="A235" s="2278"/>
      <c r="B235" s="2279"/>
      <c r="C235" s="2275" t="s">
        <v>513</v>
      </c>
      <c r="D235" s="2276"/>
      <c r="E235" s="2276"/>
      <c r="F235" s="2276"/>
      <c r="G235" s="2276"/>
      <c r="H235" s="2277"/>
      <c r="I235" s="1925"/>
    </row>
    <row r="236" spans="1:9" s="404" customFormat="1">
      <c r="A236" s="2280"/>
      <c r="B236" s="2281"/>
      <c r="C236" s="2223" t="s">
        <v>1356</v>
      </c>
      <c r="D236" s="2224"/>
      <c r="E236" s="2225"/>
      <c r="F236" s="545"/>
      <c r="G236" s="548"/>
      <c r="H236" s="552">
        <v>36861420</v>
      </c>
      <c r="I236" s="1925"/>
    </row>
    <row r="237" spans="1:9" s="404" customFormat="1">
      <c r="A237" s="2280"/>
      <c r="B237" s="2281"/>
      <c r="C237" s="2223" t="s">
        <v>1356</v>
      </c>
      <c r="D237" s="2224"/>
      <c r="E237" s="2225"/>
      <c r="F237" s="555" t="s">
        <v>514</v>
      </c>
      <c r="G237" s="548"/>
      <c r="H237" s="559">
        <v>3737010</v>
      </c>
      <c r="I237" s="1925"/>
    </row>
    <row r="238" spans="1:9" s="404" customFormat="1">
      <c r="A238" s="2280"/>
      <c r="B238" s="2281"/>
      <c r="C238" s="2223" t="s">
        <v>1356</v>
      </c>
      <c r="D238" s="2224"/>
      <c r="E238" s="2225"/>
      <c r="F238" s="555" t="s">
        <v>515</v>
      </c>
      <c r="G238" s="548"/>
      <c r="H238" s="552">
        <v>27880</v>
      </c>
      <c r="I238" s="1925"/>
    </row>
    <row r="239" spans="1:9" s="404" customFormat="1">
      <c r="A239" s="2280"/>
      <c r="B239" s="2281"/>
      <c r="C239" s="2223" t="s">
        <v>516</v>
      </c>
      <c r="D239" s="2224"/>
      <c r="E239" s="2225"/>
      <c r="F239" s="545"/>
      <c r="G239" s="548"/>
      <c r="H239" s="550">
        <v>1187079</v>
      </c>
      <c r="I239" s="1925"/>
    </row>
    <row r="240" spans="1:9" s="404" customFormat="1">
      <c r="A240" s="2280"/>
      <c r="B240" s="2281"/>
      <c r="C240" s="2223" t="s">
        <v>517</v>
      </c>
      <c r="D240" s="2224"/>
      <c r="E240" s="2225"/>
      <c r="F240" s="1733" t="s">
        <v>518</v>
      </c>
      <c r="G240" s="548"/>
      <c r="H240" s="550">
        <v>3000000</v>
      </c>
      <c r="I240" s="1925"/>
    </row>
    <row r="241" spans="1:9" s="404" customFormat="1">
      <c r="A241" s="2280"/>
      <c r="B241" s="2281"/>
      <c r="C241" s="2223" t="s">
        <v>1356</v>
      </c>
      <c r="D241" s="2224"/>
      <c r="E241" s="2225"/>
      <c r="F241" s="1733" t="s">
        <v>1357</v>
      </c>
      <c r="G241" s="548"/>
      <c r="H241" s="550">
        <v>1465745</v>
      </c>
      <c r="I241" s="1925"/>
    </row>
    <row r="242" spans="1:9" s="404" customFormat="1">
      <c r="A242" s="2280"/>
      <c r="B242" s="2281"/>
      <c r="C242" s="2223" t="s">
        <v>1356</v>
      </c>
      <c r="D242" s="2224"/>
      <c r="E242" s="2225"/>
      <c r="F242" s="1733" t="s">
        <v>1358</v>
      </c>
      <c r="G242" s="548"/>
      <c r="H242" s="550">
        <v>1862590</v>
      </c>
      <c r="I242" s="1925"/>
    </row>
    <row r="243" spans="1:9" s="404" customFormat="1">
      <c r="A243" s="2280"/>
      <c r="B243" s="2281"/>
      <c r="C243" s="2223" t="s">
        <v>1356</v>
      </c>
      <c r="D243" s="2224"/>
      <c r="E243" s="2225"/>
      <c r="F243" s="1733" t="s">
        <v>1359</v>
      </c>
      <c r="G243" s="548"/>
      <c r="H243" s="550">
        <v>982897</v>
      </c>
      <c r="I243" s="1925"/>
    </row>
    <row r="244" spans="1:9" s="404" customFormat="1">
      <c r="A244" s="2280"/>
      <c r="B244" s="2281"/>
      <c r="C244" s="2223" t="s">
        <v>1356</v>
      </c>
      <c r="D244" s="2224"/>
      <c r="E244" s="2225"/>
      <c r="F244" s="1733" t="s">
        <v>1360</v>
      </c>
      <c r="G244" s="548"/>
      <c r="H244" s="550">
        <v>982897</v>
      </c>
      <c r="I244" s="1925"/>
    </row>
    <row r="245" spans="1:9" s="404" customFormat="1">
      <c r="A245" s="2280"/>
      <c r="B245" s="2281"/>
      <c r="C245" s="2223" t="s">
        <v>1356</v>
      </c>
      <c r="D245" s="2224"/>
      <c r="E245" s="2225"/>
      <c r="F245" s="1733" t="s">
        <v>1361</v>
      </c>
      <c r="G245" s="548"/>
      <c r="H245" s="550">
        <v>982897</v>
      </c>
      <c r="I245" s="1925"/>
    </row>
    <row r="246" spans="1:9" s="404" customFormat="1">
      <c r="A246" s="2280"/>
      <c r="B246" s="2281"/>
      <c r="C246" s="2223" t="s">
        <v>1356</v>
      </c>
      <c r="D246" s="2224"/>
      <c r="E246" s="2225"/>
      <c r="F246" s="1733" t="s">
        <v>1362</v>
      </c>
      <c r="G246" s="548"/>
      <c r="H246" s="550">
        <v>982897</v>
      </c>
      <c r="I246" s="1925"/>
    </row>
    <row r="247" spans="1:9" s="404" customFormat="1">
      <c r="A247" s="2280"/>
      <c r="B247" s="2281"/>
      <c r="C247" s="2223" t="s">
        <v>1356</v>
      </c>
      <c r="D247" s="2224"/>
      <c r="E247" s="2225"/>
      <c r="F247" s="1733" t="s">
        <v>1363</v>
      </c>
      <c r="G247" s="548"/>
      <c r="H247" s="550">
        <v>982897</v>
      </c>
      <c r="I247" s="1925"/>
    </row>
    <row r="248" spans="1:9" s="404" customFormat="1">
      <c r="A248" s="2280"/>
      <c r="B248" s="2281"/>
      <c r="C248" s="2223" t="s">
        <v>1356</v>
      </c>
      <c r="D248" s="2224"/>
      <c r="E248" s="2225"/>
      <c r="F248" s="1733" t="s">
        <v>1364</v>
      </c>
      <c r="G248" s="548"/>
      <c r="H248" s="550">
        <v>982897</v>
      </c>
      <c r="I248" s="1925"/>
    </row>
    <row r="249" spans="1:9" s="404" customFormat="1">
      <c r="A249" s="2280"/>
      <c r="B249" s="2281"/>
      <c r="C249" s="2223" t="s">
        <v>1356</v>
      </c>
      <c r="D249" s="2224"/>
      <c r="E249" s="2225"/>
      <c r="F249" s="1733" t="s">
        <v>1365</v>
      </c>
      <c r="G249" s="548"/>
      <c r="H249" s="550">
        <v>982897</v>
      </c>
      <c r="I249" s="1925"/>
    </row>
    <row r="250" spans="1:9" s="404" customFormat="1">
      <c r="A250" s="2280"/>
      <c r="B250" s="2281"/>
      <c r="C250" s="2223" t="s">
        <v>1356</v>
      </c>
      <c r="D250" s="2224"/>
      <c r="E250" s="2225"/>
      <c r="F250" s="1733" t="s">
        <v>1366</v>
      </c>
      <c r="G250" s="548"/>
      <c r="H250" s="550">
        <v>869424</v>
      </c>
      <c r="I250" s="1925"/>
    </row>
    <row r="251" spans="1:9" s="404" customFormat="1">
      <c r="A251" s="2280"/>
      <c r="B251" s="2281"/>
      <c r="C251" s="2223" t="s">
        <v>1356</v>
      </c>
      <c r="D251" s="2224"/>
      <c r="E251" s="2225"/>
      <c r="F251" s="1733" t="s">
        <v>1367</v>
      </c>
      <c r="G251" s="548"/>
      <c r="H251" s="550">
        <v>893984</v>
      </c>
      <c r="I251" s="1925"/>
    </row>
    <row r="252" spans="1:9" s="404" customFormat="1">
      <c r="A252" s="2280"/>
      <c r="B252" s="2281"/>
      <c r="C252" s="2223" t="s">
        <v>1356</v>
      </c>
      <c r="D252" s="2224"/>
      <c r="E252" s="2225"/>
      <c r="F252" s="1733" t="s">
        <v>1368</v>
      </c>
      <c r="G252" s="548"/>
      <c r="H252" s="550">
        <v>892756</v>
      </c>
      <c r="I252" s="1925"/>
    </row>
    <row r="253" spans="1:9" s="404" customFormat="1">
      <c r="A253" s="2280"/>
      <c r="B253" s="2281"/>
      <c r="C253" s="2223" t="s">
        <v>1356</v>
      </c>
      <c r="D253" s="2224"/>
      <c r="E253" s="2225"/>
      <c r="F253" s="1733" t="s">
        <v>1369</v>
      </c>
      <c r="G253" s="548"/>
      <c r="H253" s="550">
        <v>936209</v>
      </c>
      <c r="I253" s="1925"/>
    </row>
    <row r="254" spans="1:9" s="404" customFormat="1">
      <c r="A254" s="2280"/>
      <c r="B254" s="2281"/>
      <c r="C254" s="2223" t="s">
        <v>1356</v>
      </c>
      <c r="D254" s="2224"/>
      <c r="E254" s="2225"/>
      <c r="F254" s="1733" t="s">
        <v>1370</v>
      </c>
      <c r="G254" s="548"/>
      <c r="H254" s="560">
        <v>934980</v>
      </c>
      <c r="I254" s="1925"/>
    </row>
    <row r="255" spans="1:9" s="404" customFormat="1">
      <c r="A255" s="2280"/>
      <c r="B255" s="2281"/>
      <c r="C255" s="2223" t="s">
        <v>1356</v>
      </c>
      <c r="D255" s="2224"/>
      <c r="E255" s="2225"/>
      <c r="F255" s="1733" t="s">
        <v>1371</v>
      </c>
      <c r="G255" s="548"/>
      <c r="H255" s="550">
        <v>944810</v>
      </c>
      <c r="I255" s="1925"/>
    </row>
    <row r="256" spans="1:9" s="404" customFormat="1">
      <c r="A256" s="2280"/>
      <c r="B256" s="2281"/>
      <c r="C256" s="2223" t="s">
        <v>1356</v>
      </c>
      <c r="D256" s="2224"/>
      <c r="E256" s="2225"/>
      <c r="F256" s="1733" t="s">
        <v>1372</v>
      </c>
      <c r="G256" s="548"/>
      <c r="H256" s="550">
        <v>1007468</v>
      </c>
      <c r="I256" s="1925"/>
    </row>
    <row r="257" spans="1:9" s="404" customFormat="1">
      <c r="A257" s="2280"/>
      <c r="B257" s="2281"/>
      <c r="C257" s="2223" t="s">
        <v>1356</v>
      </c>
      <c r="D257" s="2224"/>
      <c r="E257" s="2225"/>
      <c r="F257" s="1733" t="s">
        <v>1373</v>
      </c>
      <c r="G257" s="548"/>
      <c r="H257" s="550">
        <v>995182</v>
      </c>
      <c r="I257" s="1925"/>
    </row>
    <row r="258" spans="1:9" s="404" customFormat="1">
      <c r="A258" s="2280"/>
      <c r="B258" s="2281"/>
      <c r="C258" s="2223" t="s">
        <v>1356</v>
      </c>
      <c r="D258" s="2224"/>
      <c r="E258" s="2225"/>
      <c r="F258" s="1733" t="s">
        <v>1374</v>
      </c>
      <c r="G258" s="548"/>
      <c r="H258" s="550">
        <v>981667</v>
      </c>
      <c r="I258" s="1925"/>
    </row>
    <row r="259" spans="1:9" s="404" customFormat="1">
      <c r="A259" s="2280"/>
      <c r="B259" s="2281"/>
      <c r="C259" s="2223" t="s">
        <v>1356</v>
      </c>
      <c r="D259" s="2224"/>
      <c r="E259" s="2225"/>
      <c r="F259" s="1733" t="s">
        <v>1375</v>
      </c>
      <c r="G259" s="548"/>
      <c r="H259" s="550">
        <v>969381</v>
      </c>
      <c r="I259" s="1925"/>
    </row>
    <row r="260" spans="1:9" s="404" customFormat="1">
      <c r="A260" s="2280"/>
      <c r="B260" s="2281"/>
      <c r="C260" s="2223" t="s">
        <v>1356</v>
      </c>
      <c r="D260" s="2224"/>
      <c r="E260" s="2225"/>
      <c r="F260" s="1733" t="s">
        <v>1376</v>
      </c>
      <c r="G260" s="548"/>
      <c r="H260" s="550">
        <v>954156</v>
      </c>
      <c r="I260" s="1925"/>
    </row>
    <row r="261" spans="1:9" s="404" customFormat="1">
      <c r="A261" s="2280"/>
      <c r="B261" s="2281"/>
      <c r="C261" s="2223" t="s">
        <v>1356</v>
      </c>
      <c r="D261" s="2224"/>
      <c r="E261" s="2225"/>
      <c r="F261" s="1733" t="s">
        <v>1489</v>
      </c>
      <c r="G261" s="548"/>
      <c r="H261" s="560">
        <v>976560</v>
      </c>
      <c r="I261" s="1925"/>
    </row>
    <row r="262" spans="1:9" s="404" customFormat="1">
      <c r="A262" s="2280"/>
      <c r="B262" s="2281"/>
      <c r="C262" s="2223" t="s">
        <v>1356</v>
      </c>
      <c r="D262" s="2224"/>
      <c r="E262" s="2225"/>
      <c r="F262" s="1733" t="s">
        <v>1490</v>
      </c>
      <c r="G262" s="548"/>
      <c r="H262" s="560">
        <v>1354815</v>
      </c>
      <c r="I262" s="1925"/>
    </row>
    <row r="263" spans="1:9" s="404" customFormat="1">
      <c r="A263" s="2280"/>
      <c r="B263" s="2281"/>
      <c r="C263" s="2223" t="s">
        <v>1356</v>
      </c>
      <c r="D263" s="2224"/>
      <c r="E263" s="2225"/>
      <c r="F263" s="1733" t="s">
        <v>1491</v>
      </c>
      <c r="G263" s="548"/>
      <c r="H263" s="560">
        <v>1047888</v>
      </c>
      <c r="I263" s="1925"/>
    </row>
    <row r="264" spans="1:9" s="404" customFormat="1">
      <c r="A264" s="2280"/>
      <c r="B264" s="2281"/>
      <c r="C264" s="2223" t="s">
        <v>1356</v>
      </c>
      <c r="D264" s="2224"/>
      <c r="E264" s="2225"/>
      <c r="F264" s="1733" t="s">
        <v>1492</v>
      </c>
      <c r="G264" s="548"/>
      <c r="H264" s="560">
        <v>1878498</v>
      </c>
      <c r="I264" s="1925"/>
    </row>
    <row r="265" spans="1:9" s="404" customFormat="1">
      <c r="A265" s="2280"/>
      <c r="B265" s="2281"/>
      <c r="C265" s="2223" t="s">
        <v>1356</v>
      </c>
      <c r="D265" s="2224"/>
      <c r="E265" s="2225"/>
      <c r="F265" s="1733" t="s">
        <v>1493</v>
      </c>
      <c r="G265" s="548"/>
      <c r="H265" s="560">
        <v>842946</v>
      </c>
      <c r="I265" s="1925"/>
    </row>
    <row r="266" spans="1:9" s="404" customFormat="1">
      <c r="A266" s="2280"/>
      <c r="B266" s="2281"/>
      <c r="C266" s="2223" t="s">
        <v>1356</v>
      </c>
      <c r="D266" s="2224"/>
      <c r="E266" s="2225"/>
      <c r="F266" s="1733" t="s">
        <v>1494</v>
      </c>
      <c r="G266" s="548"/>
      <c r="H266" s="560">
        <v>900000</v>
      </c>
      <c r="I266" s="1925"/>
    </row>
    <row r="267" spans="1:9" s="404" customFormat="1" ht="15.75" thickBot="1">
      <c r="A267" s="2280"/>
      <c r="B267" s="2281"/>
      <c r="C267" s="2226" t="s">
        <v>1356</v>
      </c>
      <c r="D267" s="2227"/>
      <c r="E267" s="2228"/>
      <c r="F267" s="1732" t="s">
        <v>1495</v>
      </c>
      <c r="G267" s="566"/>
      <c r="H267" s="578">
        <v>900000</v>
      </c>
      <c r="I267" s="1925"/>
    </row>
    <row r="268" spans="1:9" s="404" customFormat="1" ht="15.75" thickTop="1">
      <c r="A268" s="2288"/>
      <c r="B268" s="2289"/>
      <c r="C268" s="2305" t="s">
        <v>1922</v>
      </c>
      <c r="D268" s="2306"/>
      <c r="E268" s="2306"/>
      <c r="F268" s="2307"/>
      <c r="G268" s="564" t="s">
        <v>168</v>
      </c>
      <c r="H268" s="573">
        <f>SUM(H236:H267)</f>
        <v>73302727</v>
      </c>
      <c r="I268" s="1925"/>
    </row>
    <row r="269" spans="1:9" s="404" customFormat="1">
      <c r="A269" s="2256" t="s">
        <v>466</v>
      </c>
      <c r="B269" s="2258" t="s">
        <v>467</v>
      </c>
      <c r="C269" s="2259"/>
      <c r="D269" s="2259"/>
      <c r="E269" s="2256"/>
      <c r="F269" s="2262" t="s">
        <v>1929</v>
      </c>
      <c r="G269" s="2258" t="s">
        <v>1484</v>
      </c>
      <c r="H269" s="2256"/>
      <c r="I269" s="1925"/>
    </row>
    <row r="270" spans="1:9" s="404" customFormat="1">
      <c r="A270" s="2257"/>
      <c r="B270" s="2260"/>
      <c r="C270" s="2261"/>
      <c r="D270" s="2261"/>
      <c r="E270" s="2257"/>
      <c r="F270" s="2263"/>
      <c r="G270" s="2260"/>
      <c r="H270" s="2257"/>
      <c r="I270" s="1925"/>
    </row>
    <row r="271" spans="1:9" s="404" customFormat="1">
      <c r="A271" s="1925"/>
      <c r="B271" s="1925"/>
      <c r="C271" s="2296" t="s">
        <v>1377</v>
      </c>
      <c r="D271" s="2272"/>
      <c r="E271" s="2272"/>
      <c r="F271" s="2272"/>
      <c r="G271" s="2272"/>
      <c r="H271" s="2273"/>
      <c r="I271" s="1925"/>
    </row>
    <row r="272" spans="1:9" s="404" customFormat="1">
      <c r="A272" s="2280"/>
      <c r="B272" s="2281"/>
      <c r="C272" s="2247" t="s">
        <v>1378</v>
      </c>
      <c r="D272" s="2248"/>
      <c r="E272" s="2249"/>
      <c r="F272" s="547" t="s">
        <v>1379</v>
      </c>
      <c r="G272" s="549"/>
      <c r="H272" s="559">
        <v>1367112</v>
      </c>
      <c r="I272" s="1925"/>
    </row>
    <row r="273" spans="1:9" s="404" customFormat="1">
      <c r="A273" s="2280"/>
      <c r="B273" s="2281"/>
      <c r="C273" s="2247" t="s">
        <v>1380</v>
      </c>
      <c r="D273" s="2248"/>
      <c r="E273" s="2249"/>
      <c r="F273" s="547" t="s">
        <v>1381</v>
      </c>
      <c r="G273" s="549"/>
      <c r="H273" s="559">
        <v>4206453</v>
      </c>
      <c r="I273" s="1925"/>
    </row>
    <row r="274" spans="1:9" s="404" customFormat="1">
      <c r="A274" s="2280"/>
      <c r="B274" s="2281"/>
      <c r="C274" s="2247" t="s">
        <v>1382</v>
      </c>
      <c r="D274" s="2248"/>
      <c r="E274" s="2249"/>
      <c r="F274" s="547" t="s">
        <v>1381</v>
      </c>
      <c r="G274" s="549"/>
      <c r="H274" s="559">
        <v>3558336</v>
      </c>
      <c r="I274" s="1925"/>
    </row>
    <row r="275" spans="1:9" s="404" customFormat="1">
      <c r="A275" s="2280"/>
      <c r="B275" s="2281"/>
      <c r="C275" s="2247" t="s">
        <v>1383</v>
      </c>
      <c r="D275" s="2248"/>
      <c r="E275" s="2249"/>
      <c r="F275" s="547" t="s">
        <v>1381</v>
      </c>
      <c r="G275" s="549"/>
      <c r="H275" s="559">
        <v>3425003</v>
      </c>
      <c r="I275" s="1925"/>
    </row>
    <row r="276" spans="1:9" s="404" customFormat="1">
      <c r="A276" s="2280"/>
      <c r="B276" s="2281"/>
      <c r="C276" s="2247" t="s">
        <v>1384</v>
      </c>
      <c r="D276" s="2248"/>
      <c r="E276" s="2249"/>
      <c r="F276" s="547" t="s">
        <v>1381</v>
      </c>
      <c r="G276" s="549"/>
      <c r="H276" s="559">
        <v>4213998</v>
      </c>
      <c r="I276" s="1925"/>
    </row>
    <row r="277" spans="1:9" s="404" customFormat="1">
      <c r="A277" s="2280"/>
      <c r="B277" s="2281"/>
      <c r="C277" s="2247" t="s">
        <v>1385</v>
      </c>
      <c r="D277" s="2248"/>
      <c r="E277" s="2249"/>
      <c r="F277" s="547" t="s">
        <v>1381</v>
      </c>
      <c r="G277" s="549"/>
      <c r="H277" s="559">
        <v>3425003</v>
      </c>
      <c r="I277" s="1925"/>
    </row>
    <row r="278" spans="1:9" s="404" customFormat="1">
      <c r="A278" s="2280"/>
      <c r="B278" s="2281"/>
      <c r="C278" s="2247" t="s">
        <v>1386</v>
      </c>
      <c r="D278" s="2248"/>
      <c r="E278" s="2249"/>
      <c r="F278" s="547" t="s">
        <v>1387</v>
      </c>
      <c r="G278" s="549"/>
      <c r="H278" s="559">
        <v>2344804</v>
      </c>
      <c r="I278" s="1925"/>
    </row>
    <row r="279" spans="1:9" s="404" customFormat="1">
      <c r="A279" s="2280"/>
      <c r="B279" s="2281"/>
      <c r="C279" s="2247" t="s">
        <v>1388</v>
      </c>
      <c r="D279" s="2248"/>
      <c r="E279" s="2249"/>
      <c r="F279" s="547" t="s">
        <v>1387</v>
      </c>
      <c r="G279" s="549"/>
      <c r="H279" s="559">
        <v>4973430</v>
      </c>
      <c r="I279" s="1925"/>
    </row>
    <row r="280" spans="1:9" s="404" customFormat="1">
      <c r="A280" s="2280"/>
      <c r="B280" s="2281"/>
      <c r="C280" s="2247" t="s">
        <v>1389</v>
      </c>
      <c r="D280" s="2248"/>
      <c r="E280" s="2249"/>
      <c r="F280" s="547" t="s">
        <v>1387</v>
      </c>
      <c r="G280" s="549"/>
      <c r="H280" s="559">
        <v>1930571</v>
      </c>
      <c r="I280" s="1925"/>
    </row>
    <row r="281" spans="1:9" s="404" customFormat="1">
      <c r="A281" s="2280"/>
      <c r="B281" s="2281"/>
      <c r="C281" s="2247" t="s">
        <v>1390</v>
      </c>
      <c r="D281" s="2248"/>
      <c r="E281" s="2249"/>
      <c r="F281" s="547" t="s">
        <v>1387</v>
      </c>
      <c r="G281" s="549"/>
      <c r="H281" s="559">
        <v>2133702</v>
      </c>
      <c r="I281" s="1925"/>
    </row>
    <row r="282" spans="1:9" s="404" customFormat="1">
      <c r="A282" s="2280"/>
      <c r="B282" s="2281"/>
      <c r="C282" s="2247" t="s">
        <v>1391</v>
      </c>
      <c r="D282" s="2248"/>
      <c r="E282" s="2249"/>
      <c r="F282" s="547" t="s">
        <v>1387</v>
      </c>
      <c r="G282" s="549"/>
      <c r="H282" s="559">
        <v>2399839</v>
      </c>
      <c r="I282" s="1925"/>
    </row>
    <row r="283" spans="1:9" s="404" customFormat="1">
      <c r="A283" s="2280"/>
      <c r="B283" s="2281"/>
      <c r="C283" s="2247" t="s">
        <v>1392</v>
      </c>
      <c r="D283" s="2248"/>
      <c r="E283" s="2249"/>
      <c r="F283" s="547" t="s">
        <v>1393</v>
      </c>
      <c r="G283" s="549"/>
      <c r="H283" s="559">
        <v>14669260</v>
      </c>
      <c r="I283" s="1925"/>
    </row>
    <row r="284" spans="1:9" s="404" customFormat="1">
      <c r="A284" s="2280"/>
      <c r="B284" s="2281"/>
      <c r="C284" s="2247" t="s">
        <v>1901</v>
      </c>
      <c r="D284" s="2248"/>
      <c r="E284" s="2249"/>
      <c r="F284" s="547" t="s">
        <v>1394</v>
      </c>
      <c r="G284" s="549"/>
      <c r="H284" s="559">
        <v>3759638</v>
      </c>
      <c r="I284" s="1925"/>
    </row>
    <row r="285" spans="1:9" s="404" customFormat="1">
      <c r="A285" s="2280"/>
      <c r="B285" s="2281"/>
      <c r="C285" s="2247" t="s">
        <v>1395</v>
      </c>
      <c r="D285" s="2248"/>
      <c r="E285" s="2249"/>
      <c r="F285" s="547" t="s">
        <v>1394</v>
      </c>
      <c r="G285" s="549"/>
      <c r="H285" s="559">
        <v>3600429</v>
      </c>
      <c r="I285" s="1925"/>
    </row>
    <row r="286" spans="1:9" s="404" customFormat="1">
      <c r="A286" s="2280"/>
      <c r="B286" s="2281"/>
      <c r="C286" s="2247" t="s">
        <v>1396</v>
      </c>
      <c r="D286" s="2248"/>
      <c r="E286" s="2249"/>
      <c r="F286" s="547" t="s">
        <v>1397</v>
      </c>
      <c r="G286" s="549"/>
      <c r="H286" s="559">
        <v>1356878</v>
      </c>
      <c r="I286" s="1925"/>
    </row>
    <row r="287" spans="1:9" s="404" customFormat="1">
      <c r="A287" s="2280"/>
      <c r="B287" s="2281"/>
      <c r="C287" s="2247" t="s">
        <v>1398</v>
      </c>
      <c r="D287" s="2248"/>
      <c r="E287" s="2249"/>
      <c r="F287" s="547" t="s">
        <v>1399</v>
      </c>
      <c r="G287" s="549"/>
      <c r="H287" s="559">
        <v>1869368</v>
      </c>
      <c r="I287" s="1925"/>
    </row>
    <row r="288" spans="1:9" s="404" customFormat="1">
      <c r="A288" s="2280"/>
      <c r="B288" s="2281"/>
      <c r="C288" s="2247" t="s">
        <v>1400</v>
      </c>
      <c r="D288" s="2248"/>
      <c r="E288" s="2249"/>
      <c r="F288" s="547" t="s">
        <v>1401</v>
      </c>
      <c r="G288" s="549"/>
      <c r="H288" s="559">
        <v>1359425</v>
      </c>
      <c r="I288" s="1925"/>
    </row>
    <row r="289" spans="1:9" s="404" customFormat="1">
      <c r="A289" s="2280"/>
      <c r="B289" s="2281"/>
      <c r="C289" s="2247" t="s">
        <v>1402</v>
      </c>
      <c r="D289" s="2248"/>
      <c r="E289" s="2249"/>
      <c r="F289" s="547" t="s">
        <v>1403</v>
      </c>
      <c r="G289" s="549"/>
      <c r="H289" s="559">
        <v>2582076</v>
      </c>
      <c r="I289" s="1925"/>
    </row>
    <row r="290" spans="1:9" s="404" customFormat="1">
      <c r="A290" s="2280"/>
      <c r="B290" s="2281"/>
      <c r="C290" s="2247" t="s">
        <v>1404</v>
      </c>
      <c r="D290" s="2248"/>
      <c r="E290" s="2249"/>
      <c r="F290" s="547" t="s">
        <v>1405</v>
      </c>
      <c r="G290" s="549"/>
      <c r="H290" s="559">
        <v>2259039</v>
      </c>
      <c r="I290" s="1925"/>
    </row>
    <row r="291" spans="1:9" s="404" customFormat="1">
      <c r="A291" s="2280"/>
      <c r="B291" s="2281"/>
      <c r="C291" s="2247" t="s">
        <v>1406</v>
      </c>
      <c r="D291" s="2248"/>
      <c r="E291" s="2249"/>
      <c r="F291" s="547" t="s">
        <v>1405</v>
      </c>
      <c r="G291" s="549"/>
      <c r="H291" s="559">
        <v>6439233</v>
      </c>
      <c r="I291" s="1925"/>
    </row>
    <row r="292" spans="1:9" s="404" customFormat="1">
      <c r="A292" s="2280"/>
      <c r="B292" s="2281"/>
      <c r="C292" s="2247" t="s">
        <v>1407</v>
      </c>
      <c r="D292" s="2248"/>
      <c r="E292" s="2249"/>
      <c r="F292" s="547" t="s">
        <v>1405</v>
      </c>
      <c r="G292" s="549"/>
      <c r="H292" s="559">
        <v>2714864</v>
      </c>
      <c r="I292" s="1925"/>
    </row>
    <row r="293" spans="1:9" s="404" customFormat="1">
      <c r="A293" s="2280"/>
      <c r="B293" s="2281"/>
      <c r="C293" s="2247" t="s">
        <v>1408</v>
      </c>
      <c r="D293" s="2248"/>
      <c r="E293" s="2249"/>
      <c r="F293" s="547" t="s">
        <v>1409</v>
      </c>
      <c r="G293" s="549"/>
      <c r="H293" s="559">
        <v>3471374</v>
      </c>
      <c r="I293" s="1925"/>
    </row>
    <row r="294" spans="1:9" s="404" customFormat="1">
      <c r="A294" s="2280"/>
      <c r="B294" s="2281"/>
      <c r="C294" s="2247" t="s">
        <v>1410</v>
      </c>
      <c r="D294" s="2248"/>
      <c r="E294" s="2249"/>
      <c r="F294" s="547" t="s">
        <v>1411</v>
      </c>
      <c r="G294" s="549"/>
      <c r="H294" s="559">
        <v>3222721</v>
      </c>
      <c r="I294" s="1925"/>
    </row>
    <row r="295" spans="1:9" s="404" customFormat="1">
      <c r="A295" s="2280"/>
      <c r="B295" s="2281"/>
      <c r="C295" s="2247" t="s">
        <v>1889</v>
      </c>
      <c r="D295" s="2248"/>
      <c r="E295" s="2249"/>
      <c r="F295" s="547" t="s">
        <v>1412</v>
      </c>
      <c r="G295" s="549"/>
      <c r="H295" s="559">
        <v>3784104</v>
      </c>
      <c r="I295" s="1925"/>
    </row>
    <row r="296" spans="1:9" s="404" customFormat="1">
      <c r="A296" s="2280"/>
      <c r="B296" s="2281"/>
      <c r="C296" s="2247" t="s">
        <v>1413</v>
      </c>
      <c r="D296" s="2248"/>
      <c r="E296" s="2249"/>
      <c r="F296" s="547" t="s">
        <v>1414</v>
      </c>
      <c r="G296" s="549"/>
      <c r="H296" s="559">
        <v>4467850</v>
      </c>
      <c r="I296" s="1925"/>
    </row>
    <row r="297" spans="1:9" s="404" customFormat="1">
      <c r="A297" s="2280"/>
      <c r="B297" s="2281"/>
      <c r="C297" s="2247" t="s">
        <v>1415</v>
      </c>
      <c r="D297" s="2248"/>
      <c r="E297" s="2249"/>
      <c r="F297" s="547" t="s">
        <v>1416</v>
      </c>
      <c r="G297" s="549"/>
      <c r="H297" s="559">
        <v>3418832</v>
      </c>
      <c r="I297" s="1925"/>
    </row>
    <row r="298" spans="1:9" s="404" customFormat="1">
      <c r="A298" s="2280"/>
      <c r="B298" s="2281"/>
      <c r="C298" s="2247" t="s">
        <v>1417</v>
      </c>
      <c r="D298" s="2248"/>
      <c r="E298" s="2249"/>
      <c r="F298" s="547" t="s">
        <v>1418</v>
      </c>
      <c r="G298" s="549"/>
      <c r="H298" s="559">
        <v>1447095</v>
      </c>
      <c r="I298" s="1925"/>
    </row>
    <row r="299" spans="1:9" s="404" customFormat="1" ht="15.75" thickBot="1">
      <c r="A299" s="2280"/>
      <c r="B299" s="2281"/>
      <c r="C299" s="2250" t="s">
        <v>1419</v>
      </c>
      <c r="D299" s="2251"/>
      <c r="E299" s="2252"/>
      <c r="F299" s="568" t="s">
        <v>1420</v>
      </c>
      <c r="G299" s="1957"/>
      <c r="H299" s="567">
        <v>1599134</v>
      </c>
      <c r="I299" s="1925"/>
    </row>
    <row r="300" spans="1:9" s="404" customFormat="1" ht="15.75" thickTop="1">
      <c r="A300" s="2280"/>
      <c r="B300" s="2281"/>
      <c r="C300" s="2269" t="s">
        <v>1928</v>
      </c>
      <c r="D300" s="2270"/>
      <c r="E300" s="2270"/>
      <c r="F300" s="2270"/>
      <c r="G300" s="2271"/>
      <c r="H300" s="739">
        <f>SUM(H272:H299)</f>
        <v>95999571</v>
      </c>
      <c r="I300" s="1925"/>
    </row>
    <row r="301" spans="1:9" s="404" customFormat="1" ht="15.75" customHeight="1">
      <c r="A301" s="2363" t="s">
        <v>519</v>
      </c>
      <c r="B301" s="2364"/>
      <c r="C301" s="2364"/>
      <c r="D301" s="2364"/>
      <c r="E301" s="2364"/>
      <c r="F301" s="2364"/>
      <c r="G301" s="2364"/>
      <c r="H301" s="2365"/>
      <c r="I301" s="1925"/>
    </row>
    <row r="302" spans="1:9" s="404" customFormat="1" ht="15.75" customHeight="1">
      <c r="A302" s="2366"/>
      <c r="B302" s="2367"/>
      <c r="C302" s="2367"/>
      <c r="D302" s="2367"/>
      <c r="E302" s="2367"/>
      <c r="F302" s="2367"/>
      <c r="G302" s="2367"/>
      <c r="H302" s="2368"/>
      <c r="I302" s="1925"/>
    </row>
    <row r="303" spans="1:9" s="404" customFormat="1">
      <c r="A303" s="2256" t="s">
        <v>466</v>
      </c>
      <c r="B303" s="2258" t="s">
        <v>467</v>
      </c>
      <c r="C303" s="2259"/>
      <c r="D303" s="2259"/>
      <c r="E303" s="2256"/>
      <c r="F303" s="2262"/>
      <c r="G303" s="2258" t="s">
        <v>1484</v>
      </c>
      <c r="H303" s="2256"/>
      <c r="I303" s="1925"/>
    </row>
    <row r="304" spans="1:9" s="404" customFormat="1">
      <c r="A304" s="2257"/>
      <c r="B304" s="2260"/>
      <c r="C304" s="2261"/>
      <c r="D304" s="2261"/>
      <c r="E304" s="2257"/>
      <c r="F304" s="2263"/>
      <c r="G304" s="2260"/>
      <c r="H304" s="2257"/>
      <c r="I304" s="1925"/>
    </row>
    <row r="305" spans="1:9" s="404" customFormat="1">
      <c r="A305" s="2278"/>
      <c r="B305" s="2279"/>
      <c r="C305" s="2247" t="s">
        <v>520</v>
      </c>
      <c r="D305" s="2248"/>
      <c r="E305" s="2248"/>
      <c r="F305" s="2248"/>
      <c r="G305" s="2249"/>
      <c r="H305" s="559">
        <v>3429140</v>
      </c>
      <c r="I305" s="1925"/>
    </row>
    <row r="306" spans="1:9" s="404" customFormat="1" ht="15.75" thickBot="1">
      <c r="A306" s="2280"/>
      <c r="B306" s="2281"/>
      <c r="C306" s="2250" t="s">
        <v>521</v>
      </c>
      <c r="D306" s="2251"/>
      <c r="E306" s="2251"/>
      <c r="F306" s="2251"/>
      <c r="G306" s="2252"/>
      <c r="H306" s="567"/>
      <c r="I306" s="1925"/>
    </row>
    <row r="307" spans="1:9" s="404" customFormat="1" ht="15.75" thickTop="1">
      <c r="A307" s="2280"/>
      <c r="B307" s="2281"/>
      <c r="C307" s="2305" t="s">
        <v>1933</v>
      </c>
      <c r="D307" s="2306"/>
      <c r="E307" s="2306"/>
      <c r="F307" s="2306"/>
      <c r="G307" s="2307"/>
      <c r="H307" s="565">
        <f>SUM(H305:H306)</f>
        <v>3429140</v>
      </c>
      <c r="I307" s="1925"/>
    </row>
    <row r="308" spans="1:9" s="404" customFormat="1">
      <c r="A308" s="1925"/>
      <c r="B308" s="1925"/>
      <c r="C308" s="2431"/>
      <c r="D308" s="2431"/>
      <c r="E308" s="2431"/>
      <c r="F308" s="2431"/>
      <c r="G308" s="2431"/>
      <c r="H308" s="407"/>
      <c r="I308" s="1925"/>
    </row>
    <row r="309" spans="1:9" s="404" customFormat="1">
      <c r="A309" s="1925"/>
      <c r="B309" s="1925"/>
      <c r="C309" s="413"/>
      <c r="D309" s="413"/>
      <c r="E309" s="413"/>
      <c r="H309" s="407"/>
      <c r="I309" s="1925"/>
    </row>
    <row r="310" spans="1:9" s="404" customFormat="1" ht="15.75" thickBot="1">
      <c r="A310" s="2432" t="s">
        <v>522</v>
      </c>
      <c r="B310" s="2432"/>
      <c r="C310" s="2432"/>
      <c r="D310" s="2432"/>
      <c r="E310" s="2432"/>
      <c r="F310" s="2432"/>
      <c r="G310" s="1958"/>
      <c r="H310" s="1959">
        <f>SUM(H206,H232,H268,H307,H300)</f>
        <v>494027323</v>
      </c>
      <c r="I310" s="414" t="s">
        <v>2222</v>
      </c>
    </row>
    <row r="311" spans="1:9" s="404" customFormat="1" ht="15.75" thickTop="1">
      <c r="B311" s="1946"/>
      <c r="C311" s="1946"/>
      <c r="D311" s="1946"/>
      <c r="E311" s="1946"/>
      <c r="F311" s="1946"/>
      <c r="G311" s="1946"/>
      <c r="H311" s="1933"/>
    </row>
    <row r="312" spans="1:9" s="404" customFormat="1">
      <c r="A312" s="2259" t="s">
        <v>486</v>
      </c>
      <c r="B312" s="2259" t="s">
        <v>467</v>
      </c>
      <c r="C312" s="2259"/>
      <c r="D312" s="2259"/>
      <c r="E312" s="2259"/>
      <c r="F312" s="411"/>
      <c r="G312" s="2259" t="s">
        <v>468</v>
      </c>
      <c r="H312" s="2259"/>
      <c r="I312" s="405"/>
    </row>
    <row r="313" spans="1:9" s="404" customFormat="1">
      <c r="A313" s="2261"/>
      <c r="B313" s="2261"/>
      <c r="C313" s="2261"/>
      <c r="D313" s="2261"/>
      <c r="E313" s="2261"/>
      <c r="F313" s="412"/>
      <c r="G313" s="2261"/>
      <c r="H313" s="2261"/>
      <c r="I313" s="406"/>
    </row>
    <row r="314" spans="1:9" s="404" customFormat="1">
      <c r="A314" s="2282" t="s">
        <v>470</v>
      </c>
      <c r="B314" s="2283"/>
      <c r="C314" s="2283"/>
      <c r="D314" s="2283"/>
      <c r="E314" s="2283"/>
      <c r="F314" s="2283"/>
      <c r="G314" s="2283"/>
      <c r="H314" s="2284"/>
    </row>
    <row r="315" spans="1:9" s="404" customFormat="1" ht="15.75" customHeight="1">
      <c r="A315" s="2285"/>
      <c r="B315" s="2286"/>
      <c r="C315" s="2286"/>
      <c r="D315" s="2286"/>
      <c r="E315" s="2286"/>
      <c r="F315" s="2286"/>
      <c r="G315" s="2286"/>
      <c r="H315" s="2287"/>
      <c r="I315" s="1925"/>
    </row>
    <row r="316" spans="1:9" s="404" customFormat="1" ht="24.75" customHeight="1">
      <c r="A316" s="2253" t="s">
        <v>402</v>
      </c>
      <c r="B316" s="2254"/>
      <c r="C316" s="2254"/>
      <c r="D316" s="2254"/>
      <c r="E316" s="2254"/>
      <c r="F316" s="2254"/>
      <c r="G316" s="2254"/>
      <c r="H316" s="2255"/>
    </row>
    <row r="317" spans="1:9" s="404" customFormat="1">
      <c r="A317" s="2256"/>
      <c r="B317" s="2258" t="s">
        <v>467</v>
      </c>
      <c r="C317" s="2259"/>
      <c r="D317" s="2259"/>
      <c r="E317" s="2256"/>
      <c r="F317" s="2262" t="s">
        <v>1929</v>
      </c>
      <c r="G317" s="2258" t="s">
        <v>1484</v>
      </c>
      <c r="H317" s="2256"/>
    </row>
    <row r="318" spans="1:9" s="404" customFormat="1">
      <c r="A318" s="2257"/>
      <c r="B318" s="2260"/>
      <c r="C318" s="2261"/>
      <c r="D318" s="2261"/>
      <c r="E318" s="2257"/>
      <c r="F318" s="2263"/>
      <c r="G318" s="2260"/>
      <c r="H318" s="2257"/>
    </row>
    <row r="319" spans="1:9" s="404" customFormat="1">
      <c r="A319" s="2244"/>
      <c r="B319" s="2264"/>
      <c r="C319" s="2266" t="s">
        <v>523</v>
      </c>
      <c r="D319" s="2267"/>
      <c r="E319" s="2267"/>
      <c r="F319" s="2268"/>
      <c r="G319" s="548"/>
      <c r="H319" s="550">
        <v>503740</v>
      </c>
      <c r="I319" s="542"/>
    </row>
    <row r="320" spans="1:9" s="404" customFormat="1" ht="15.75" thickBot="1">
      <c r="A320" s="2245"/>
      <c r="B320" s="2265"/>
      <c r="C320" s="2250" t="s">
        <v>471</v>
      </c>
      <c r="D320" s="2251"/>
      <c r="E320" s="2251"/>
      <c r="F320" s="2252"/>
      <c r="G320" s="566"/>
      <c r="H320" s="569">
        <v>1375836</v>
      </c>
      <c r="I320" s="542"/>
    </row>
    <row r="321" spans="1:9" s="404" customFormat="1" ht="15.75" thickTop="1">
      <c r="A321" s="2245"/>
      <c r="B321" s="2265"/>
      <c r="C321" s="2269" t="s">
        <v>168</v>
      </c>
      <c r="D321" s="2270"/>
      <c r="E321" s="2270"/>
      <c r="F321" s="2270"/>
      <c r="G321" s="2271"/>
      <c r="H321" s="740">
        <f>SUM(H319:H320)</f>
        <v>1879576</v>
      </c>
      <c r="I321" s="542"/>
    </row>
    <row r="322" spans="1:9" s="404" customFormat="1" ht="30" customHeight="1">
      <c r="A322" s="2253" t="s">
        <v>488</v>
      </c>
      <c r="B322" s="2254"/>
      <c r="C322" s="2254"/>
      <c r="D322" s="2254"/>
      <c r="E322" s="2254"/>
      <c r="F322" s="2254"/>
      <c r="G322" s="2254"/>
      <c r="H322" s="2255"/>
    </row>
    <row r="323" spans="1:9" s="404" customFormat="1">
      <c r="A323" s="2256" t="s">
        <v>466</v>
      </c>
      <c r="B323" s="2258" t="s">
        <v>467</v>
      </c>
      <c r="C323" s="2259"/>
      <c r="D323" s="2259"/>
      <c r="E323" s="2256"/>
      <c r="F323" s="2262" t="s">
        <v>1929</v>
      </c>
      <c r="G323" s="2258" t="s">
        <v>1484</v>
      </c>
      <c r="H323" s="2256"/>
    </row>
    <row r="324" spans="1:9" s="404" customFormat="1">
      <c r="A324" s="2257"/>
      <c r="B324" s="2260"/>
      <c r="C324" s="2261"/>
      <c r="D324" s="2261"/>
      <c r="E324" s="2257"/>
      <c r="F324" s="2263"/>
      <c r="G324" s="2260"/>
      <c r="H324" s="2257"/>
    </row>
    <row r="325" spans="1:9" s="404" customFormat="1">
      <c r="A325" s="2244"/>
      <c r="B325" s="2264"/>
      <c r="C325" s="2296" t="s">
        <v>804</v>
      </c>
      <c r="D325" s="2272"/>
      <c r="E325" s="2272"/>
      <c r="F325" s="2272"/>
      <c r="G325" s="2272"/>
      <c r="H325" s="2273"/>
    </row>
    <row r="326" spans="1:9" s="404" customFormat="1">
      <c r="A326" s="2245"/>
      <c r="B326" s="2265"/>
      <c r="C326" s="2223" t="s">
        <v>524</v>
      </c>
      <c r="D326" s="2224"/>
      <c r="E326" s="2225"/>
      <c r="F326" s="579" t="s">
        <v>525</v>
      </c>
      <c r="G326" s="548"/>
      <c r="H326" s="546">
        <v>27745000</v>
      </c>
    </row>
    <row r="327" spans="1:9" s="404" customFormat="1">
      <c r="A327" s="2245"/>
      <c r="B327" s="2265"/>
      <c r="C327" s="2223" t="s">
        <v>526</v>
      </c>
      <c r="D327" s="2224"/>
      <c r="E327" s="2225"/>
      <c r="F327" s="1960" t="s">
        <v>527</v>
      </c>
      <c r="G327" s="548"/>
      <c r="H327" s="546">
        <v>203791</v>
      </c>
      <c r="I327" s="1925"/>
    </row>
    <row r="328" spans="1:9" s="404" customFormat="1">
      <c r="A328" s="2245"/>
      <c r="B328" s="2265"/>
      <c r="C328" s="2223" t="s">
        <v>526</v>
      </c>
      <c r="D328" s="2224"/>
      <c r="E328" s="2225"/>
      <c r="F328" s="557" t="s">
        <v>528</v>
      </c>
      <c r="G328" s="548"/>
      <c r="H328" s="546">
        <v>17573</v>
      </c>
      <c r="I328" s="1925"/>
    </row>
    <row r="329" spans="1:9" s="404" customFormat="1">
      <c r="A329" s="2245"/>
      <c r="B329" s="2265"/>
      <c r="C329" s="2223" t="s">
        <v>529</v>
      </c>
      <c r="D329" s="2224"/>
      <c r="E329" s="2225"/>
      <c r="F329" s="557" t="s">
        <v>530</v>
      </c>
      <c r="G329" s="548"/>
      <c r="H329" s="546">
        <v>12087</v>
      </c>
      <c r="I329" s="1925"/>
    </row>
    <row r="330" spans="1:9" s="404" customFormat="1">
      <c r="A330" s="2245"/>
      <c r="B330" s="2265"/>
      <c r="C330" s="2223" t="s">
        <v>531</v>
      </c>
      <c r="D330" s="2224"/>
      <c r="E330" s="2225"/>
      <c r="F330" s="557" t="s">
        <v>532</v>
      </c>
      <c r="G330" s="548"/>
      <c r="H330" s="546">
        <v>183480</v>
      </c>
      <c r="I330" s="1925"/>
    </row>
    <row r="331" spans="1:9" s="404" customFormat="1">
      <c r="A331" s="2245"/>
      <c r="B331" s="2265"/>
      <c r="C331" s="2223" t="s">
        <v>510</v>
      </c>
      <c r="D331" s="2224"/>
      <c r="E331" s="2225"/>
      <c r="F331" s="557" t="s">
        <v>533</v>
      </c>
      <c r="G331" s="1937"/>
      <c r="H331" s="546">
        <v>146272</v>
      </c>
      <c r="I331" s="1925"/>
    </row>
    <row r="332" spans="1:9" s="404" customFormat="1" ht="16.5" customHeight="1">
      <c r="A332" s="2245"/>
      <c r="B332" s="2265"/>
      <c r="C332" s="2223" t="s">
        <v>510</v>
      </c>
      <c r="D332" s="2224"/>
      <c r="E332" s="2225"/>
      <c r="F332" s="557" t="s">
        <v>534</v>
      </c>
      <c r="G332" s="548"/>
      <c r="H332" s="546">
        <v>131411</v>
      </c>
      <c r="I332" s="1925"/>
    </row>
    <row r="333" spans="1:9" s="404" customFormat="1">
      <c r="A333" s="2245"/>
      <c r="B333" s="2265"/>
      <c r="C333" s="2223" t="s">
        <v>510</v>
      </c>
      <c r="D333" s="2224"/>
      <c r="E333" s="2225"/>
      <c r="F333" s="557" t="s">
        <v>535</v>
      </c>
      <c r="G333" s="548"/>
      <c r="H333" s="546">
        <v>162305</v>
      </c>
      <c r="I333" s="1925"/>
    </row>
    <row r="334" spans="1:9" s="404" customFormat="1">
      <c r="A334" s="2245"/>
      <c r="B334" s="2265"/>
      <c r="C334" s="2223" t="s">
        <v>510</v>
      </c>
      <c r="D334" s="2224"/>
      <c r="E334" s="2225"/>
      <c r="F334" s="557" t="s">
        <v>536</v>
      </c>
      <c r="G334" s="548"/>
      <c r="H334" s="546">
        <v>302506</v>
      </c>
      <c r="I334" s="1925"/>
    </row>
    <row r="335" spans="1:9" s="404" customFormat="1">
      <c r="A335" s="2245"/>
      <c r="B335" s="2265"/>
      <c r="C335" s="2223" t="s">
        <v>2223</v>
      </c>
      <c r="D335" s="2224"/>
      <c r="E335" s="2225"/>
      <c r="F335" s="557"/>
      <c r="G335" s="548"/>
      <c r="H335" s="546">
        <v>133055</v>
      </c>
      <c r="I335" s="1925"/>
    </row>
    <row r="336" spans="1:9" s="404" customFormat="1">
      <c r="A336" s="2245"/>
      <c r="B336" s="2265"/>
      <c r="C336" s="2223" t="s">
        <v>510</v>
      </c>
      <c r="D336" s="2224"/>
      <c r="E336" s="2225"/>
      <c r="F336" s="557" t="s">
        <v>537</v>
      </c>
      <c r="G336" s="548"/>
      <c r="H336" s="546">
        <v>239167</v>
      </c>
      <c r="I336" s="1925"/>
    </row>
    <row r="337" spans="1:9" s="404" customFormat="1">
      <c r="A337" s="2245"/>
      <c r="B337" s="2265"/>
      <c r="C337" s="2223" t="s">
        <v>510</v>
      </c>
      <c r="D337" s="2224"/>
      <c r="E337" s="2225"/>
      <c r="F337" s="557" t="s">
        <v>538</v>
      </c>
      <c r="G337" s="548"/>
      <c r="H337" s="546">
        <v>21484</v>
      </c>
      <c r="I337" s="1925"/>
    </row>
    <row r="338" spans="1:9" s="404" customFormat="1">
      <c r="A338" s="2245"/>
      <c r="B338" s="2265"/>
      <c r="C338" s="2223" t="s">
        <v>510</v>
      </c>
      <c r="D338" s="2224"/>
      <c r="E338" s="2225"/>
      <c r="F338" s="557" t="s">
        <v>539</v>
      </c>
      <c r="G338" s="548"/>
      <c r="H338" s="546">
        <v>267388</v>
      </c>
      <c r="I338" s="1925"/>
    </row>
    <row r="339" spans="1:9" s="404" customFormat="1">
      <c r="A339" s="2245"/>
      <c r="B339" s="2265"/>
      <c r="C339" s="2223" t="s">
        <v>510</v>
      </c>
      <c r="D339" s="2224"/>
      <c r="E339" s="2225"/>
      <c r="F339" s="1960" t="s">
        <v>532</v>
      </c>
      <c r="G339" s="548"/>
      <c r="H339" s="546">
        <v>183480</v>
      </c>
      <c r="I339" s="1925"/>
    </row>
    <row r="340" spans="1:9" s="404" customFormat="1">
      <c r="A340" s="2245"/>
      <c r="B340" s="2265"/>
      <c r="C340" s="2223" t="s">
        <v>510</v>
      </c>
      <c r="D340" s="2224"/>
      <c r="E340" s="2225"/>
      <c r="F340" s="557" t="s">
        <v>540</v>
      </c>
      <c r="G340" s="548"/>
      <c r="H340" s="546">
        <v>368840</v>
      </c>
      <c r="I340" s="1925"/>
    </row>
    <row r="341" spans="1:9" s="404" customFormat="1">
      <c r="A341" s="2245"/>
      <c r="B341" s="2265"/>
      <c r="C341" s="2223" t="s">
        <v>510</v>
      </c>
      <c r="D341" s="2224"/>
      <c r="E341" s="2225"/>
      <c r="F341" s="557" t="s">
        <v>541</v>
      </c>
      <c r="G341" s="548"/>
      <c r="H341" s="546">
        <v>316394</v>
      </c>
      <c r="I341" s="1925"/>
    </row>
    <row r="342" spans="1:9" s="404" customFormat="1">
      <c r="A342" s="2245"/>
      <c r="B342" s="2265"/>
      <c r="C342" s="2223" t="s">
        <v>510</v>
      </c>
      <c r="D342" s="2224"/>
      <c r="E342" s="2225"/>
      <c r="F342" s="557" t="s">
        <v>542</v>
      </c>
      <c r="G342" s="1961"/>
      <c r="H342" s="546">
        <v>325527</v>
      </c>
      <c r="I342" s="1925"/>
    </row>
    <row r="343" spans="1:9" s="404" customFormat="1">
      <c r="A343" s="2245"/>
      <c r="B343" s="2265"/>
      <c r="C343" s="2223" t="s">
        <v>510</v>
      </c>
      <c r="D343" s="2224"/>
      <c r="E343" s="2225"/>
      <c r="F343" s="557" t="s">
        <v>543</v>
      </c>
      <c r="G343" s="1937"/>
      <c r="H343" s="546">
        <v>81695</v>
      </c>
      <c r="I343" s="1925"/>
    </row>
    <row r="344" spans="1:9" s="404" customFormat="1">
      <c r="A344" s="2245"/>
      <c r="B344" s="2265"/>
      <c r="C344" s="2223" t="s">
        <v>510</v>
      </c>
      <c r="D344" s="2224"/>
      <c r="E344" s="2225"/>
      <c r="F344" s="557" t="s">
        <v>544</v>
      </c>
      <c r="G344" s="1961"/>
      <c r="H344" s="546">
        <v>15888</v>
      </c>
    </row>
    <row r="345" spans="1:9" s="404" customFormat="1">
      <c r="A345" s="2245"/>
      <c r="B345" s="2265"/>
      <c r="C345" s="2223" t="s">
        <v>510</v>
      </c>
      <c r="D345" s="2224"/>
      <c r="E345" s="2225"/>
      <c r="F345" s="557" t="s">
        <v>545</v>
      </c>
      <c r="G345" s="548"/>
      <c r="H345" s="546">
        <v>33027</v>
      </c>
    </row>
    <row r="346" spans="1:9" s="404" customFormat="1" ht="15.75" customHeight="1">
      <c r="A346" s="2245"/>
      <c r="B346" s="2265"/>
      <c r="C346" s="2223" t="s">
        <v>510</v>
      </c>
      <c r="D346" s="2224"/>
      <c r="E346" s="2225"/>
      <c r="F346" s="557" t="s">
        <v>546</v>
      </c>
      <c r="G346" s="548"/>
      <c r="H346" s="546">
        <v>32554</v>
      </c>
    </row>
    <row r="347" spans="1:9" s="404" customFormat="1">
      <c r="A347" s="2245"/>
      <c r="B347" s="2265"/>
      <c r="C347" s="2223" t="s">
        <v>510</v>
      </c>
      <c r="D347" s="2224"/>
      <c r="E347" s="2225"/>
      <c r="F347" s="1960" t="s">
        <v>547</v>
      </c>
      <c r="G347" s="548"/>
      <c r="H347" s="546">
        <v>11120</v>
      </c>
    </row>
    <row r="348" spans="1:9" s="404" customFormat="1">
      <c r="A348" s="2245"/>
      <c r="B348" s="2265"/>
      <c r="C348" s="2223" t="s">
        <v>510</v>
      </c>
      <c r="D348" s="2224"/>
      <c r="E348" s="2225"/>
      <c r="F348" s="1960" t="s">
        <v>548</v>
      </c>
      <c r="G348" s="1961"/>
      <c r="H348" s="546">
        <v>3617300</v>
      </c>
    </row>
    <row r="349" spans="1:9" s="404" customFormat="1">
      <c r="A349" s="2245"/>
      <c r="B349" s="2265"/>
      <c r="C349" s="2223" t="s">
        <v>510</v>
      </c>
      <c r="D349" s="2224"/>
      <c r="E349" s="2225"/>
      <c r="F349" s="557" t="s">
        <v>549</v>
      </c>
      <c r="G349" s="548"/>
      <c r="H349" s="546">
        <v>2382700</v>
      </c>
    </row>
    <row r="350" spans="1:9" s="404" customFormat="1">
      <c r="A350" s="2245"/>
      <c r="B350" s="2265"/>
      <c r="C350" s="2223" t="s">
        <v>2224</v>
      </c>
      <c r="D350" s="2224"/>
      <c r="E350" s="2225"/>
      <c r="F350" s="547"/>
      <c r="G350" s="547"/>
      <c r="H350" s="546">
        <v>10250000</v>
      </c>
    </row>
    <row r="351" spans="1:9" s="404" customFormat="1">
      <c r="A351" s="2245"/>
      <c r="B351" s="2265"/>
      <c r="C351" s="2223" t="s">
        <v>2225</v>
      </c>
      <c r="D351" s="2224"/>
      <c r="E351" s="2225"/>
      <c r="F351" s="547"/>
      <c r="G351" s="547"/>
      <c r="H351" s="546">
        <v>4460000</v>
      </c>
    </row>
    <row r="352" spans="1:9" s="404" customFormat="1">
      <c r="A352" s="2245"/>
      <c r="B352" s="2265"/>
      <c r="C352" s="2223" t="s">
        <v>2226</v>
      </c>
      <c r="D352" s="2224"/>
      <c r="E352" s="2225"/>
      <c r="F352" s="1961"/>
      <c r="G352" s="547"/>
      <c r="H352" s="546">
        <v>330000</v>
      </c>
    </row>
    <row r="353" spans="1:8" s="404" customFormat="1">
      <c r="A353" s="2245"/>
      <c r="B353" s="2265"/>
      <c r="C353" s="2223" t="s">
        <v>2227</v>
      </c>
      <c r="D353" s="2224"/>
      <c r="E353" s="2225"/>
      <c r="F353" s="1961"/>
      <c r="G353" s="547"/>
      <c r="H353" s="546">
        <v>226500</v>
      </c>
    </row>
    <row r="354" spans="1:8" s="404" customFormat="1">
      <c r="A354" s="2245"/>
      <c r="B354" s="2265"/>
      <c r="C354" s="2223" t="s">
        <v>2228</v>
      </c>
      <c r="D354" s="2224"/>
      <c r="E354" s="2225"/>
      <c r="F354" s="1961"/>
      <c r="G354" s="547"/>
      <c r="H354" s="546">
        <v>4861000</v>
      </c>
    </row>
    <row r="355" spans="1:8" s="404" customFormat="1">
      <c r="A355" s="2245"/>
      <c r="B355" s="2265"/>
      <c r="C355" s="2223" t="s">
        <v>2229</v>
      </c>
      <c r="D355" s="2224"/>
      <c r="E355" s="2225"/>
      <c r="F355" s="1961"/>
      <c r="G355" s="547"/>
      <c r="H355" s="546">
        <v>62000</v>
      </c>
    </row>
    <row r="356" spans="1:8" s="404" customFormat="1" ht="15.75" customHeight="1">
      <c r="A356" s="2245"/>
      <c r="B356" s="2265"/>
      <c r="C356" s="2223" t="s">
        <v>2230</v>
      </c>
      <c r="D356" s="2224"/>
      <c r="E356" s="2225"/>
      <c r="F356" s="555"/>
      <c r="G356" s="547"/>
      <c r="H356" s="546">
        <v>1096162</v>
      </c>
    </row>
    <row r="357" spans="1:8" s="404" customFormat="1" ht="15.75" customHeight="1">
      <c r="A357" s="2245"/>
      <c r="B357" s="2265"/>
      <c r="C357" s="2223" t="s">
        <v>2231</v>
      </c>
      <c r="D357" s="2224"/>
      <c r="E357" s="2225"/>
      <c r="F357" s="555"/>
      <c r="G357" s="547"/>
      <c r="H357" s="546">
        <v>1885000</v>
      </c>
    </row>
    <row r="358" spans="1:8" s="404" customFormat="1" ht="15.75" customHeight="1">
      <c r="A358" s="2245"/>
      <c r="B358" s="2265"/>
      <c r="C358" s="2223" t="s">
        <v>2232</v>
      </c>
      <c r="D358" s="2224"/>
      <c r="E358" s="2225"/>
      <c r="F358" s="555"/>
      <c r="G358" s="547"/>
      <c r="H358" s="546">
        <v>14103000</v>
      </c>
    </row>
    <row r="359" spans="1:8" s="404" customFormat="1">
      <c r="A359" s="2245"/>
      <c r="B359" s="2265"/>
      <c r="C359" s="2223" t="s">
        <v>2233</v>
      </c>
      <c r="D359" s="2224"/>
      <c r="E359" s="2225"/>
      <c r="F359" s="555"/>
      <c r="G359" s="555"/>
      <c r="H359" s="546">
        <v>652000</v>
      </c>
    </row>
    <row r="360" spans="1:8" s="404" customFormat="1">
      <c r="A360" s="2245"/>
      <c r="B360" s="2265"/>
      <c r="C360" s="2223" t="s">
        <v>550</v>
      </c>
      <c r="D360" s="2224"/>
      <c r="E360" s="2225"/>
      <c r="F360" s="557" t="s">
        <v>551</v>
      </c>
      <c r="G360" s="555"/>
      <c r="H360" s="546">
        <v>2514000</v>
      </c>
    </row>
    <row r="361" spans="1:8" s="404" customFormat="1">
      <c r="A361" s="2245"/>
      <c r="B361" s="2265"/>
      <c r="C361" s="2223" t="s">
        <v>552</v>
      </c>
      <c r="D361" s="2224"/>
      <c r="E361" s="2225"/>
      <c r="F361" s="557" t="s">
        <v>553</v>
      </c>
      <c r="G361" s="555"/>
      <c r="H361" s="546">
        <v>4070000</v>
      </c>
    </row>
    <row r="362" spans="1:8" s="404" customFormat="1">
      <c r="A362" s="2245"/>
      <c r="B362" s="2265"/>
      <c r="C362" s="2223" t="s">
        <v>1890</v>
      </c>
      <c r="D362" s="2224"/>
      <c r="E362" s="2225"/>
      <c r="F362" s="557" t="s">
        <v>554</v>
      </c>
      <c r="G362" s="555"/>
      <c r="H362" s="546">
        <v>15084000</v>
      </c>
    </row>
    <row r="363" spans="1:8" s="404" customFormat="1">
      <c r="A363" s="2245"/>
      <c r="B363" s="2265"/>
      <c r="C363" s="2223" t="s">
        <v>555</v>
      </c>
      <c r="D363" s="2224"/>
      <c r="E363" s="2225"/>
      <c r="F363" s="1960" t="s">
        <v>556</v>
      </c>
      <c r="G363" s="556"/>
      <c r="H363" s="546">
        <v>10004000</v>
      </c>
    </row>
    <row r="364" spans="1:8" s="404" customFormat="1">
      <c r="A364" s="2245"/>
      <c r="B364" s="2265"/>
      <c r="C364" s="2223" t="s">
        <v>1902</v>
      </c>
      <c r="D364" s="2224"/>
      <c r="E364" s="2225"/>
      <c r="F364" s="557" t="s">
        <v>557</v>
      </c>
      <c r="G364" s="555"/>
      <c r="H364" s="546">
        <v>29156000</v>
      </c>
    </row>
    <row r="365" spans="1:8" s="404" customFormat="1">
      <c r="A365" s="2245"/>
      <c r="B365" s="2265"/>
      <c r="C365" s="2223" t="s">
        <v>558</v>
      </c>
      <c r="D365" s="2224"/>
      <c r="E365" s="2225"/>
      <c r="F365" s="557" t="s">
        <v>559</v>
      </c>
      <c r="G365" s="555"/>
      <c r="H365" s="546">
        <v>5736000</v>
      </c>
    </row>
    <row r="366" spans="1:8" s="404" customFormat="1">
      <c r="A366" s="2245"/>
      <c r="B366" s="2265"/>
      <c r="C366" s="2223" t="s">
        <v>560</v>
      </c>
      <c r="D366" s="2224"/>
      <c r="E366" s="2225"/>
      <c r="F366" s="557" t="s">
        <v>561</v>
      </c>
      <c r="G366" s="555"/>
      <c r="H366" s="546">
        <v>19396000</v>
      </c>
    </row>
    <row r="367" spans="1:8" s="404" customFormat="1">
      <c r="A367" s="2245"/>
      <c r="B367" s="2265"/>
      <c r="C367" s="2223" t="s">
        <v>562</v>
      </c>
      <c r="D367" s="2224"/>
      <c r="E367" s="2225"/>
      <c r="F367" s="557" t="s">
        <v>563</v>
      </c>
      <c r="G367" s="555"/>
      <c r="H367" s="546">
        <v>8228000</v>
      </c>
    </row>
    <row r="368" spans="1:8" s="404" customFormat="1">
      <c r="A368" s="2245"/>
      <c r="B368" s="2265"/>
      <c r="C368" s="2223" t="s">
        <v>564</v>
      </c>
      <c r="D368" s="2224"/>
      <c r="E368" s="2225"/>
      <c r="F368" s="557" t="s">
        <v>565</v>
      </c>
      <c r="G368" s="555"/>
      <c r="H368" s="546">
        <v>4033000</v>
      </c>
    </row>
    <row r="369" spans="1:9" s="404" customFormat="1">
      <c r="A369" s="2245"/>
      <c r="B369" s="2265"/>
      <c r="C369" s="2223" t="s">
        <v>566</v>
      </c>
      <c r="D369" s="2224"/>
      <c r="E369" s="2225"/>
      <c r="F369" s="557" t="s">
        <v>567</v>
      </c>
      <c r="G369" s="555"/>
      <c r="H369" s="546">
        <v>14060000</v>
      </c>
      <c r="I369" s="1925"/>
    </row>
    <row r="370" spans="1:9" s="404" customFormat="1">
      <c r="A370" s="2245"/>
      <c r="B370" s="2265"/>
      <c r="C370" s="2223" t="s">
        <v>568</v>
      </c>
      <c r="D370" s="2224"/>
      <c r="E370" s="2225"/>
      <c r="F370" s="557" t="s">
        <v>569</v>
      </c>
      <c r="G370" s="555"/>
      <c r="H370" s="546">
        <v>1833000</v>
      </c>
    </row>
    <row r="371" spans="1:9" s="404" customFormat="1">
      <c r="A371" s="2245"/>
      <c r="B371" s="2265"/>
      <c r="C371" s="2223" t="s">
        <v>570</v>
      </c>
      <c r="D371" s="2224"/>
      <c r="E371" s="2225"/>
      <c r="F371" s="1960" t="s">
        <v>571</v>
      </c>
      <c r="G371" s="556"/>
      <c r="H371" s="546">
        <v>1646500</v>
      </c>
    </row>
    <row r="372" spans="1:9" s="404" customFormat="1">
      <c r="A372" s="2245"/>
      <c r="B372" s="2265"/>
      <c r="C372" s="2223" t="s">
        <v>572</v>
      </c>
      <c r="D372" s="2224"/>
      <c r="E372" s="2225"/>
      <c r="F372" s="557">
        <v>836</v>
      </c>
      <c r="G372" s="555"/>
      <c r="H372" s="546">
        <v>10087000</v>
      </c>
    </row>
    <row r="373" spans="1:9" s="404" customFormat="1">
      <c r="A373" s="2245"/>
      <c r="B373" s="2265"/>
      <c r="C373" s="2223" t="s">
        <v>573</v>
      </c>
      <c r="D373" s="2224"/>
      <c r="E373" s="2225"/>
      <c r="F373" s="557" t="s">
        <v>574</v>
      </c>
      <c r="G373" s="555"/>
      <c r="H373" s="546">
        <v>13752000</v>
      </c>
      <c r="I373" s="1925"/>
    </row>
    <row r="374" spans="1:9" s="404" customFormat="1">
      <c r="A374" s="2245"/>
      <c r="B374" s="2265"/>
      <c r="C374" s="2223" t="s">
        <v>575</v>
      </c>
      <c r="D374" s="2224"/>
      <c r="E374" s="2225"/>
      <c r="F374" s="557">
        <v>1194</v>
      </c>
      <c r="G374" s="555"/>
      <c r="H374" s="546">
        <v>643000</v>
      </c>
      <c r="I374" s="1925"/>
    </row>
    <row r="375" spans="1:9" s="404" customFormat="1">
      <c r="A375" s="2245"/>
      <c r="B375" s="2265"/>
      <c r="C375" s="2223" t="s">
        <v>576</v>
      </c>
      <c r="D375" s="2224"/>
      <c r="E375" s="2225"/>
      <c r="F375" s="557" t="s">
        <v>577</v>
      </c>
      <c r="G375" s="555"/>
      <c r="H375" s="546">
        <v>150000</v>
      </c>
    </row>
    <row r="376" spans="1:9" s="404" customFormat="1">
      <c r="A376" s="2245"/>
      <c r="B376" s="2265"/>
      <c r="C376" s="2223" t="s">
        <v>578</v>
      </c>
      <c r="D376" s="2224"/>
      <c r="E376" s="2225"/>
      <c r="F376" s="557" t="s">
        <v>579</v>
      </c>
      <c r="G376" s="555"/>
      <c r="H376" s="546">
        <v>129000</v>
      </c>
    </row>
    <row r="377" spans="1:9" s="404" customFormat="1">
      <c r="A377" s="2245"/>
      <c r="B377" s="2265"/>
      <c r="C377" s="2223" t="s">
        <v>578</v>
      </c>
      <c r="D377" s="2224"/>
      <c r="E377" s="2225"/>
      <c r="F377" s="557" t="s">
        <v>580</v>
      </c>
      <c r="G377" s="555"/>
      <c r="H377" s="546">
        <v>113000</v>
      </c>
    </row>
    <row r="378" spans="1:9" s="404" customFormat="1">
      <c r="A378" s="2245"/>
      <c r="B378" s="2265"/>
      <c r="C378" s="2223" t="s">
        <v>1872</v>
      </c>
      <c r="D378" s="2224"/>
      <c r="E378" s="2225"/>
      <c r="F378" s="1962">
        <v>1321</v>
      </c>
      <c r="G378" s="1963"/>
      <c r="H378" s="546">
        <v>446000</v>
      </c>
    </row>
    <row r="379" spans="1:9" s="404" customFormat="1">
      <c r="A379" s="2245"/>
      <c r="B379" s="2265"/>
      <c r="C379" s="2223" t="s">
        <v>1520</v>
      </c>
      <c r="D379" s="2224"/>
      <c r="E379" s="2225"/>
      <c r="F379" s="557">
        <v>83</v>
      </c>
      <c r="G379" s="1963"/>
      <c r="H379" s="546">
        <v>3000003</v>
      </c>
    </row>
    <row r="380" spans="1:9" s="404" customFormat="1">
      <c r="A380" s="2245"/>
      <c r="B380" s="2265"/>
      <c r="C380" s="2223" t="s">
        <v>581</v>
      </c>
      <c r="D380" s="2224"/>
      <c r="E380" s="2225"/>
      <c r="F380" s="1960" t="s">
        <v>582</v>
      </c>
      <c r="G380" s="548"/>
      <c r="H380" s="546">
        <v>6954000</v>
      </c>
    </row>
    <row r="381" spans="1:9" s="404" customFormat="1">
      <c r="A381" s="2245"/>
      <c r="B381" s="2265"/>
      <c r="C381" s="2223" t="s">
        <v>583</v>
      </c>
      <c r="D381" s="2224"/>
      <c r="E381" s="2225"/>
      <c r="F381" s="557" t="s">
        <v>584</v>
      </c>
      <c r="G381" s="1937"/>
      <c r="H381" s="546">
        <v>5332000</v>
      </c>
      <c r="I381" s="1925"/>
    </row>
    <row r="382" spans="1:9" s="404" customFormat="1">
      <c r="A382" s="2245"/>
      <c r="B382" s="2265"/>
      <c r="C382" s="2223" t="s">
        <v>585</v>
      </c>
      <c r="D382" s="2224"/>
      <c r="E382" s="2225"/>
      <c r="F382" s="1960" t="s">
        <v>586</v>
      </c>
      <c r="G382" s="1937"/>
      <c r="H382" s="546">
        <v>16971000</v>
      </c>
      <c r="I382" s="1925"/>
    </row>
    <row r="383" spans="1:9" s="404" customFormat="1">
      <c r="A383" s="2245"/>
      <c r="B383" s="2265"/>
      <c r="C383" s="2223" t="s">
        <v>587</v>
      </c>
      <c r="D383" s="2224"/>
      <c r="E383" s="2225"/>
      <c r="F383" s="557" t="s">
        <v>588</v>
      </c>
      <c r="G383" s="558"/>
      <c r="H383" s="546">
        <v>18823465</v>
      </c>
    </row>
    <row r="384" spans="1:9" s="404" customFormat="1">
      <c r="A384" s="2245"/>
      <c r="B384" s="2265"/>
      <c r="C384" s="2223" t="s">
        <v>589</v>
      </c>
      <c r="D384" s="2224"/>
      <c r="E384" s="2225"/>
      <c r="F384" s="557" t="s">
        <v>590</v>
      </c>
      <c r="G384" s="548"/>
      <c r="H384" s="546">
        <v>300000</v>
      </c>
    </row>
    <row r="385" spans="1:9" s="404" customFormat="1">
      <c r="A385" s="2245"/>
      <c r="B385" s="2265"/>
      <c r="C385" s="2223" t="s">
        <v>583</v>
      </c>
      <c r="D385" s="2224"/>
      <c r="E385" s="2225"/>
      <c r="F385" s="557" t="s">
        <v>591</v>
      </c>
      <c r="G385" s="558"/>
      <c r="H385" s="546">
        <v>1481000</v>
      </c>
    </row>
    <row r="386" spans="1:9" s="404" customFormat="1">
      <c r="A386" s="2245"/>
      <c r="B386" s="2265"/>
      <c r="C386" s="2223" t="s">
        <v>592</v>
      </c>
      <c r="D386" s="2224"/>
      <c r="E386" s="2225"/>
      <c r="F386" s="557" t="s">
        <v>593</v>
      </c>
      <c r="G386" s="547"/>
      <c r="H386" s="546">
        <v>28443000</v>
      </c>
    </row>
    <row r="387" spans="1:9" s="404" customFormat="1">
      <c r="A387" s="2245"/>
      <c r="B387" s="2265"/>
      <c r="C387" s="2223" t="s">
        <v>594</v>
      </c>
      <c r="D387" s="2224"/>
      <c r="E387" s="2225"/>
      <c r="F387" s="557" t="s">
        <v>595</v>
      </c>
      <c r="G387" s="547"/>
      <c r="H387" s="546">
        <v>22000</v>
      </c>
    </row>
    <row r="388" spans="1:9" s="404" customFormat="1">
      <c r="A388" s="2245"/>
      <c r="B388" s="2265"/>
      <c r="C388" s="2223" t="s">
        <v>596</v>
      </c>
      <c r="D388" s="2224"/>
      <c r="E388" s="2225"/>
      <c r="F388" s="557" t="s">
        <v>597</v>
      </c>
      <c r="G388" s="547"/>
      <c r="H388" s="546">
        <v>194000</v>
      </c>
    </row>
    <row r="389" spans="1:9" s="404" customFormat="1">
      <c r="A389" s="2245"/>
      <c r="B389" s="2265"/>
      <c r="C389" s="2223" t="s">
        <v>598</v>
      </c>
      <c r="D389" s="2224"/>
      <c r="E389" s="2225"/>
      <c r="F389" s="557" t="s">
        <v>599</v>
      </c>
      <c r="G389" s="547"/>
      <c r="H389" s="546">
        <v>1322000</v>
      </c>
    </row>
    <row r="390" spans="1:9" s="404" customFormat="1">
      <c r="A390" s="2245"/>
      <c r="B390" s="2265"/>
      <c r="C390" s="2223" t="s">
        <v>594</v>
      </c>
      <c r="D390" s="2224"/>
      <c r="E390" s="2225"/>
      <c r="F390" s="557" t="s">
        <v>600</v>
      </c>
      <c r="G390" s="547"/>
      <c r="H390" s="546">
        <v>445000</v>
      </c>
    </row>
    <row r="391" spans="1:9" s="404" customFormat="1">
      <c r="A391" s="2245"/>
      <c r="B391" s="2265"/>
      <c r="C391" s="2223" t="s">
        <v>601</v>
      </c>
      <c r="D391" s="2224"/>
      <c r="E391" s="2225"/>
      <c r="F391" s="557" t="s">
        <v>602</v>
      </c>
      <c r="G391" s="547"/>
      <c r="H391" s="546">
        <v>3327000</v>
      </c>
    </row>
    <row r="392" spans="1:9" s="404" customFormat="1">
      <c r="A392" s="2245"/>
      <c r="B392" s="2265"/>
      <c r="C392" s="2223" t="s">
        <v>603</v>
      </c>
      <c r="D392" s="2224"/>
      <c r="E392" s="2225"/>
      <c r="F392" s="557" t="s">
        <v>604</v>
      </c>
      <c r="G392" s="547"/>
      <c r="H392" s="546">
        <v>1373000</v>
      </c>
    </row>
    <row r="393" spans="1:9" s="404" customFormat="1">
      <c r="A393" s="2245"/>
      <c r="B393" s="2265"/>
      <c r="C393" s="2223" t="s">
        <v>605</v>
      </c>
      <c r="D393" s="2224"/>
      <c r="E393" s="2225"/>
      <c r="F393" s="557" t="s">
        <v>606</v>
      </c>
      <c r="G393" s="547"/>
      <c r="H393" s="546">
        <v>537000</v>
      </c>
    </row>
    <row r="394" spans="1:9" s="404" customFormat="1">
      <c r="A394" s="2245"/>
      <c r="B394" s="2265"/>
      <c r="C394" s="2223" t="s">
        <v>607</v>
      </c>
      <c r="D394" s="2224"/>
      <c r="E394" s="2225"/>
      <c r="F394" s="1960" t="s">
        <v>608</v>
      </c>
      <c r="G394" s="547"/>
      <c r="H394" s="546">
        <v>372000</v>
      </c>
    </row>
    <row r="395" spans="1:9" s="404" customFormat="1">
      <c r="A395" s="2245"/>
      <c r="B395" s="2265"/>
      <c r="C395" s="2223" t="s">
        <v>609</v>
      </c>
      <c r="D395" s="2224"/>
      <c r="E395" s="2225"/>
      <c r="F395" s="557" t="s">
        <v>610</v>
      </c>
      <c r="G395" s="547"/>
      <c r="H395" s="546">
        <v>20035400</v>
      </c>
    </row>
    <row r="396" spans="1:9" s="404" customFormat="1">
      <c r="A396" s="2245"/>
      <c r="B396" s="2265"/>
      <c r="C396" s="2223" t="s">
        <v>510</v>
      </c>
      <c r="D396" s="2224"/>
      <c r="E396" s="2225"/>
      <c r="F396" s="557" t="s">
        <v>611</v>
      </c>
      <c r="G396" s="547"/>
      <c r="H396" s="546">
        <v>295000</v>
      </c>
    </row>
    <row r="397" spans="1:9" s="404" customFormat="1">
      <c r="A397" s="2245"/>
      <c r="B397" s="2265"/>
      <c r="C397" s="2223" t="s">
        <v>612</v>
      </c>
      <c r="D397" s="2224"/>
      <c r="E397" s="2225"/>
      <c r="F397" s="557" t="s">
        <v>613</v>
      </c>
      <c r="G397" s="547"/>
      <c r="H397" s="546">
        <v>6333000</v>
      </c>
    </row>
    <row r="398" spans="1:9" s="404" customFormat="1">
      <c r="A398" s="2245"/>
      <c r="B398" s="2265"/>
      <c r="C398" s="2223" t="s">
        <v>614</v>
      </c>
      <c r="D398" s="2224"/>
      <c r="E398" s="2225"/>
      <c r="F398" s="557" t="s">
        <v>615</v>
      </c>
      <c r="G398" s="1937"/>
      <c r="H398" s="546">
        <v>381528</v>
      </c>
      <c r="I398" s="1925"/>
    </row>
    <row r="399" spans="1:9" s="404" customFormat="1">
      <c r="A399" s="2245"/>
      <c r="B399" s="2265"/>
      <c r="C399" s="2223" t="s">
        <v>616</v>
      </c>
      <c r="D399" s="2224"/>
      <c r="E399" s="2225"/>
      <c r="F399" s="557" t="s">
        <v>617</v>
      </c>
      <c r="G399" s="1937"/>
      <c r="H399" s="546">
        <v>20253000</v>
      </c>
      <c r="I399" s="1925"/>
    </row>
    <row r="400" spans="1:9" s="404" customFormat="1">
      <c r="A400" s="2245"/>
      <c r="B400" s="2265"/>
      <c r="C400" s="2223" t="s">
        <v>618</v>
      </c>
      <c r="D400" s="2224"/>
      <c r="E400" s="2225"/>
      <c r="F400" s="557" t="s">
        <v>619</v>
      </c>
      <c r="G400" s="1937"/>
      <c r="H400" s="546">
        <v>3967000</v>
      </c>
      <c r="I400" s="1925"/>
    </row>
    <row r="401" spans="1:9" s="404" customFormat="1">
      <c r="A401" s="2245"/>
      <c r="B401" s="2265"/>
      <c r="C401" s="2223" t="s">
        <v>618</v>
      </c>
      <c r="D401" s="2224"/>
      <c r="E401" s="2225"/>
      <c r="F401" s="557" t="s">
        <v>620</v>
      </c>
      <c r="G401" s="1937"/>
      <c r="H401" s="546">
        <v>701000</v>
      </c>
      <c r="I401" s="1925"/>
    </row>
    <row r="402" spans="1:9" s="404" customFormat="1">
      <c r="A402" s="2245"/>
      <c r="B402" s="2265"/>
      <c r="C402" s="2223" t="s">
        <v>621</v>
      </c>
      <c r="D402" s="2224"/>
      <c r="E402" s="2225"/>
      <c r="F402" s="1964" t="s">
        <v>1421</v>
      </c>
      <c r="G402" s="1937"/>
      <c r="H402" s="546">
        <v>1295000</v>
      </c>
      <c r="I402" s="1925"/>
    </row>
    <row r="403" spans="1:9" s="404" customFormat="1">
      <c r="A403" s="2245"/>
      <c r="B403" s="2265"/>
      <c r="C403" s="2223" t="s">
        <v>618</v>
      </c>
      <c r="D403" s="2224"/>
      <c r="E403" s="2225"/>
      <c r="F403" s="1960" t="s">
        <v>622</v>
      </c>
      <c r="G403" s="1937"/>
      <c r="H403" s="546">
        <v>3024000</v>
      </c>
      <c r="I403" s="1925"/>
    </row>
    <row r="404" spans="1:9" s="404" customFormat="1">
      <c r="A404" s="2245"/>
      <c r="B404" s="2265"/>
      <c r="C404" s="2223" t="s">
        <v>618</v>
      </c>
      <c r="D404" s="2224"/>
      <c r="E404" s="2225"/>
      <c r="F404" s="557" t="s">
        <v>623</v>
      </c>
      <c r="G404" s="1937"/>
      <c r="H404" s="546">
        <v>458000</v>
      </c>
      <c r="I404" s="1925"/>
    </row>
    <row r="405" spans="1:9" s="404" customFormat="1">
      <c r="A405" s="2245"/>
      <c r="B405" s="2265"/>
      <c r="C405" s="2223" t="s">
        <v>624</v>
      </c>
      <c r="D405" s="2224"/>
      <c r="E405" s="2225"/>
      <c r="F405" s="557" t="s">
        <v>625</v>
      </c>
      <c r="G405" s="1965"/>
      <c r="H405" s="546">
        <v>371000</v>
      </c>
      <c r="I405" s="1966"/>
    </row>
    <row r="406" spans="1:9" s="404" customFormat="1">
      <c r="A406" s="2245"/>
      <c r="B406" s="2265"/>
      <c r="C406" s="2223" t="s">
        <v>626</v>
      </c>
      <c r="D406" s="2224"/>
      <c r="E406" s="2225"/>
      <c r="F406" s="557" t="s">
        <v>627</v>
      </c>
      <c r="G406" s="1965"/>
      <c r="H406" s="546">
        <v>12777000</v>
      </c>
      <c r="I406" s="1966"/>
    </row>
    <row r="407" spans="1:9" s="404" customFormat="1">
      <c r="A407" s="2245"/>
      <c r="B407" s="2265"/>
      <c r="C407" s="2223" t="s">
        <v>628</v>
      </c>
      <c r="D407" s="2224"/>
      <c r="E407" s="2225"/>
      <c r="F407" s="557" t="s">
        <v>629</v>
      </c>
      <c r="G407" s="548"/>
      <c r="H407" s="546">
        <v>1983000</v>
      </c>
    </row>
    <row r="408" spans="1:9" s="404" customFormat="1" ht="15.75" customHeight="1">
      <c r="A408" s="2245"/>
      <c r="B408" s="2265"/>
      <c r="C408" s="2223" t="s">
        <v>630</v>
      </c>
      <c r="D408" s="2224"/>
      <c r="E408" s="2225"/>
      <c r="F408" s="557" t="s">
        <v>631</v>
      </c>
      <c r="G408" s="548"/>
      <c r="H408" s="546">
        <v>8810000</v>
      </c>
    </row>
    <row r="409" spans="1:9" s="404" customFormat="1" ht="15.75" thickBot="1">
      <c r="A409" s="2245"/>
      <c r="B409" s="2265"/>
      <c r="C409" s="2226" t="s">
        <v>632</v>
      </c>
      <c r="D409" s="2227"/>
      <c r="E409" s="2228"/>
      <c r="F409" s="1967" t="s">
        <v>633</v>
      </c>
      <c r="G409" s="566"/>
      <c r="H409" s="580">
        <v>18035000</v>
      </c>
    </row>
    <row r="410" spans="1:9" s="404" customFormat="1" ht="15.75" thickTop="1">
      <c r="A410" s="2246"/>
      <c r="B410" s="2274"/>
      <c r="C410" s="2305" t="s">
        <v>1923</v>
      </c>
      <c r="D410" s="2306"/>
      <c r="E410" s="2306"/>
      <c r="F410" s="2306"/>
      <c r="G410" s="2307"/>
      <c r="H410" s="565">
        <f>SUM(G326:H409)</f>
        <v>403555602</v>
      </c>
    </row>
    <row r="411" spans="1:9" s="404" customFormat="1">
      <c r="A411" s="2256" t="s">
        <v>466</v>
      </c>
      <c r="B411" s="2258" t="s">
        <v>467</v>
      </c>
      <c r="C411" s="2259"/>
      <c r="D411" s="2259"/>
      <c r="E411" s="2256"/>
      <c r="F411" s="2262" t="s">
        <v>1929</v>
      </c>
      <c r="G411" s="2258" t="s">
        <v>1484</v>
      </c>
      <c r="H411" s="2256"/>
      <c r="I411" s="1968"/>
    </row>
    <row r="412" spans="1:9" s="404" customFormat="1">
      <c r="A412" s="2257"/>
      <c r="B412" s="2260"/>
      <c r="C412" s="2261"/>
      <c r="D412" s="2261"/>
      <c r="E412" s="2257"/>
      <c r="F412" s="2263"/>
      <c r="G412" s="2260"/>
      <c r="H412" s="2257"/>
      <c r="I412" s="1969"/>
    </row>
    <row r="413" spans="1:9" s="404" customFormat="1">
      <c r="A413" s="2244"/>
      <c r="B413" s="2264"/>
      <c r="C413" s="2275" t="s">
        <v>1423</v>
      </c>
      <c r="D413" s="2276"/>
      <c r="E413" s="2276"/>
      <c r="F413" s="2276"/>
      <c r="G413" s="2276"/>
      <c r="H413" s="2277"/>
    </row>
    <row r="414" spans="1:9" s="404" customFormat="1">
      <c r="A414" s="2245"/>
      <c r="B414" s="2265"/>
      <c r="C414" s="2223" t="s">
        <v>634</v>
      </c>
      <c r="D414" s="2224"/>
      <c r="E414" s="2225"/>
      <c r="F414" s="557" t="s">
        <v>571</v>
      </c>
      <c r="G414" s="544"/>
      <c r="H414" s="554">
        <v>616000</v>
      </c>
    </row>
    <row r="415" spans="1:9" s="404" customFormat="1">
      <c r="A415" s="2245"/>
      <c r="B415" s="2265"/>
      <c r="C415" s="2223" t="s">
        <v>635</v>
      </c>
      <c r="D415" s="2224"/>
      <c r="E415" s="2225"/>
      <c r="F415" s="1960" t="s">
        <v>636</v>
      </c>
      <c r="G415" s="544"/>
      <c r="H415" s="554">
        <v>400000</v>
      </c>
    </row>
    <row r="416" spans="1:9" s="404" customFormat="1">
      <c r="A416" s="2245"/>
      <c r="B416" s="2265"/>
      <c r="C416" s="2223" t="s">
        <v>637</v>
      </c>
      <c r="D416" s="2224"/>
      <c r="E416" s="2225"/>
      <c r="F416" s="557"/>
      <c r="G416" s="544"/>
      <c r="H416" s="554">
        <v>348000</v>
      </c>
    </row>
    <row r="417" spans="1:8" s="404" customFormat="1">
      <c r="A417" s="2245"/>
      <c r="B417" s="2265"/>
      <c r="C417" s="2223" t="s">
        <v>638</v>
      </c>
      <c r="D417" s="2224"/>
      <c r="E417" s="2225"/>
      <c r="F417" s="557" t="s">
        <v>639</v>
      </c>
      <c r="G417" s="544"/>
      <c r="H417" s="546">
        <v>1544000</v>
      </c>
    </row>
    <row r="418" spans="1:8" s="404" customFormat="1">
      <c r="A418" s="2245"/>
      <c r="B418" s="2265"/>
      <c r="C418" s="2223" t="s">
        <v>640</v>
      </c>
      <c r="D418" s="2224"/>
      <c r="E418" s="2225"/>
      <c r="F418" s="557" t="s">
        <v>641</v>
      </c>
      <c r="G418" s="544"/>
      <c r="H418" s="546">
        <v>1977000</v>
      </c>
    </row>
    <row r="419" spans="1:8" s="404" customFormat="1">
      <c r="A419" s="2245"/>
      <c r="B419" s="2265"/>
      <c r="C419" s="2223" t="s">
        <v>1903</v>
      </c>
      <c r="D419" s="2224"/>
      <c r="E419" s="2225"/>
      <c r="F419" s="557" t="s">
        <v>642</v>
      </c>
      <c r="G419" s="544"/>
      <c r="H419" s="554">
        <v>1022000</v>
      </c>
    </row>
    <row r="420" spans="1:8" s="404" customFormat="1">
      <c r="A420" s="2245"/>
      <c r="B420" s="2265"/>
      <c r="C420" s="2223" t="s">
        <v>643</v>
      </c>
      <c r="D420" s="2224"/>
      <c r="E420" s="2225"/>
      <c r="F420" s="557" t="s">
        <v>644</v>
      </c>
      <c r="G420" s="544"/>
      <c r="H420" s="550">
        <v>58000</v>
      </c>
    </row>
    <row r="421" spans="1:8" s="404" customFormat="1">
      <c r="A421" s="2245"/>
      <c r="B421" s="2265"/>
      <c r="C421" s="2223" t="s">
        <v>645</v>
      </c>
      <c r="D421" s="2224"/>
      <c r="E421" s="2225"/>
      <c r="F421" s="557" t="s">
        <v>646</v>
      </c>
      <c r="G421" s="544"/>
      <c r="H421" s="550">
        <v>2826518</v>
      </c>
    </row>
    <row r="422" spans="1:8" s="404" customFormat="1">
      <c r="A422" s="2245"/>
      <c r="B422" s="2265"/>
      <c r="C422" s="2223" t="s">
        <v>647</v>
      </c>
      <c r="D422" s="2224"/>
      <c r="E422" s="2225"/>
      <c r="F422" s="557">
        <v>813</v>
      </c>
      <c r="G422" s="544"/>
      <c r="H422" s="546">
        <v>731000</v>
      </c>
    </row>
    <row r="423" spans="1:8" s="404" customFormat="1">
      <c r="A423" s="2245"/>
      <c r="B423" s="2265"/>
      <c r="C423" s="2223" t="s">
        <v>648</v>
      </c>
      <c r="D423" s="2224"/>
      <c r="E423" s="2225"/>
      <c r="F423" s="557"/>
      <c r="G423" s="544"/>
      <c r="H423" s="550">
        <v>1419000</v>
      </c>
    </row>
    <row r="424" spans="1:8" s="404" customFormat="1">
      <c r="A424" s="2245"/>
      <c r="B424" s="2265"/>
      <c r="C424" s="2223" t="s">
        <v>649</v>
      </c>
      <c r="D424" s="2224"/>
      <c r="E424" s="2225"/>
      <c r="F424" s="557" t="s">
        <v>650</v>
      </c>
      <c r="G424" s="544"/>
      <c r="H424" s="550">
        <v>11541000</v>
      </c>
    </row>
    <row r="425" spans="1:8" s="404" customFormat="1">
      <c r="A425" s="2245"/>
      <c r="B425" s="2265"/>
      <c r="C425" s="2223" t="s">
        <v>651</v>
      </c>
      <c r="D425" s="2224"/>
      <c r="E425" s="2225"/>
      <c r="F425" s="557">
        <v>179</v>
      </c>
      <c r="G425" s="544"/>
      <c r="H425" s="550">
        <v>1467000</v>
      </c>
    </row>
    <row r="426" spans="1:8" s="404" customFormat="1">
      <c r="A426" s="2245"/>
      <c r="B426" s="2265"/>
      <c r="C426" s="2223" t="s">
        <v>652</v>
      </c>
      <c r="D426" s="2224"/>
      <c r="E426" s="2225"/>
      <c r="F426" s="557" t="s">
        <v>653</v>
      </c>
      <c r="G426" s="544"/>
      <c r="H426" s="550">
        <v>1419000</v>
      </c>
    </row>
    <row r="427" spans="1:8" s="404" customFormat="1">
      <c r="A427" s="2245"/>
      <c r="B427" s="2265"/>
      <c r="C427" s="2223" t="s">
        <v>654</v>
      </c>
      <c r="D427" s="2224"/>
      <c r="E427" s="2225"/>
      <c r="F427" s="557" t="s">
        <v>655</v>
      </c>
      <c r="G427" s="544"/>
      <c r="H427" s="550">
        <v>2104000</v>
      </c>
    </row>
    <row r="428" spans="1:8" s="404" customFormat="1">
      <c r="A428" s="2245"/>
      <c r="B428" s="2265"/>
      <c r="C428" s="2223" t="s">
        <v>656</v>
      </c>
      <c r="D428" s="2224"/>
      <c r="E428" s="2225"/>
      <c r="F428" s="557">
        <v>182</v>
      </c>
      <c r="G428" s="544"/>
      <c r="H428" s="550">
        <v>100000</v>
      </c>
    </row>
    <row r="429" spans="1:8" s="404" customFormat="1">
      <c r="A429" s="2245"/>
      <c r="B429" s="2265"/>
      <c r="C429" s="2223" t="s">
        <v>2234</v>
      </c>
      <c r="D429" s="2224"/>
      <c r="E429" s="2225"/>
      <c r="F429" s="557"/>
      <c r="G429" s="548"/>
      <c r="H429" s="550">
        <v>6004000</v>
      </c>
    </row>
    <row r="430" spans="1:8" s="404" customFormat="1">
      <c r="A430" s="2245"/>
      <c r="B430" s="2265"/>
      <c r="C430" s="2223" t="s">
        <v>657</v>
      </c>
      <c r="D430" s="2224"/>
      <c r="E430" s="2225"/>
      <c r="F430" s="557" t="s">
        <v>658</v>
      </c>
      <c r="G430" s="548"/>
      <c r="H430" s="546">
        <v>2329900</v>
      </c>
    </row>
    <row r="431" spans="1:8" s="404" customFormat="1">
      <c r="A431" s="2245"/>
      <c r="B431" s="2265"/>
      <c r="C431" s="2223" t="s">
        <v>657</v>
      </c>
      <c r="D431" s="2224"/>
      <c r="E431" s="2225"/>
      <c r="F431" s="557" t="s">
        <v>659</v>
      </c>
      <c r="G431" s="548"/>
      <c r="H431" s="546">
        <v>243800</v>
      </c>
    </row>
    <row r="432" spans="1:8" s="404" customFormat="1">
      <c r="A432" s="2245"/>
      <c r="B432" s="2265"/>
      <c r="C432" s="2223" t="s">
        <v>660</v>
      </c>
      <c r="D432" s="2224"/>
      <c r="E432" s="2225"/>
      <c r="F432" s="1960" t="s">
        <v>661</v>
      </c>
      <c r="G432" s="548"/>
      <c r="H432" s="546">
        <v>485800</v>
      </c>
    </row>
    <row r="433" spans="1:8" s="404" customFormat="1">
      <c r="A433" s="2245"/>
      <c r="B433" s="2265"/>
      <c r="C433" s="2223" t="s">
        <v>662</v>
      </c>
      <c r="D433" s="2224"/>
      <c r="E433" s="2225"/>
      <c r="F433" s="557"/>
      <c r="G433" s="548"/>
      <c r="H433" s="546">
        <v>1408000</v>
      </c>
    </row>
    <row r="434" spans="1:8" s="404" customFormat="1">
      <c r="A434" s="2245"/>
      <c r="B434" s="2265"/>
      <c r="C434" s="2223" t="s">
        <v>1424</v>
      </c>
      <c r="D434" s="2224"/>
      <c r="E434" s="2225"/>
      <c r="F434" s="557"/>
      <c r="G434" s="548"/>
      <c r="H434" s="550">
        <v>178000</v>
      </c>
    </row>
    <row r="435" spans="1:8" s="404" customFormat="1">
      <c r="A435" s="2245"/>
      <c r="B435" s="2265"/>
      <c r="C435" s="2223" t="s">
        <v>1425</v>
      </c>
      <c r="D435" s="2224"/>
      <c r="E435" s="2225"/>
      <c r="F435" s="579" t="s">
        <v>1426</v>
      </c>
      <c r="G435" s="548"/>
      <c r="H435" s="550">
        <v>810000</v>
      </c>
    </row>
    <row r="436" spans="1:8" s="404" customFormat="1">
      <c r="A436" s="2245"/>
      <c r="B436" s="2265"/>
      <c r="C436" s="2223" t="s">
        <v>1427</v>
      </c>
      <c r="D436" s="2224"/>
      <c r="E436" s="2225"/>
      <c r="F436" s="579" t="s">
        <v>1428</v>
      </c>
      <c r="G436" s="548"/>
      <c r="H436" s="550">
        <v>658000</v>
      </c>
    </row>
    <row r="437" spans="1:8" s="404" customFormat="1">
      <c r="A437" s="2245"/>
      <c r="B437" s="2265"/>
      <c r="C437" s="2223" t="s">
        <v>1429</v>
      </c>
      <c r="D437" s="2224"/>
      <c r="E437" s="2225"/>
      <c r="F437" s="579" t="s">
        <v>1430</v>
      </c>
      <c r="G437" s="548"/>
      <c r="H437" s="550">
        <v>574000</v>
      </c>
    </row>
    <row r="438" spans="1:8" s="404" customFormat="1">
      <c r="A438" s="2245"/>
      <c r="B438" s="2265"/>
      <c r="C438" s="2223" t="s">
        <v>1431</v>
      </c>
      <c r="D438" s="2224"/>
      <c r="E438" s="2225"/>
      <c r="F438" s="579" t="s">
        <v>1432</v>
      </c>
      <c r="G438" s="548"/>
      <c r="H438" s="550">
        <v>1551000</v>
      </c>
    </row>
    <row r="439" spans="1:8" s="404" customFormat="1">
      <c r="A439" s="2245"/>
      <c r="B439" s="2265"/>
      <c r="C439" s="2223" t="s">
        <v>1433</v>
      </c>
      <c r="D439" s="2224"/>
      <c r="E439" s="2225"/>
      <c r="F439" s="579" t="s">
        <v>675</v>
      </c>
      <c r="G439" s="548"/>
      <c r="H439" s="550">
        <v>57000</v>
      </c>
    </row>
    <row r="440" spans="1:8" s="404" customFormat="1">
      <c r="A440" s="2245"/>
      <c r="B440" s="2265"/>
      <c r="C440" s="2223" t="s">
        <v>664</v>
      </c>
      <c r="D440" s="2224"/>
      <c r="E440" s="2225"/>
      <c r="F440" s="557"/>
      <c r="G440" s="548"/>
      <c r="H440" s="546">
        <v>727000</v>
      </c>
    </row>
    <row r="441" spans="1:8" s="404" customFormat="1">
      <c r="A441" s="2245"/>
      <c r="B441" s="2265"/>
      <c r="C441" s="2223" t="s">
        <v>665</v>
      </c>
      <c r="D441" s="2224"/>
      <c r="E441" s="2225"/>
      <c r="F441" s="557"/>
      <c r="G441" s="548"/>
      <c r="H441" s="546">
        <v>2210000</v>
      </c>
    </row>
    <row r="442" spans="1:8" s="404" customFormat="1">
      <c r="A442" s="2245"/>
      <c r="B442" s="2265"/>
      <c r="C442" s="2223" t="s">
        <v>665</v>
      </c>
      <c r="D442" s="2224"/>
      <c r="E442" s="2225"/>
      <c r="F442" s="557"/>
      <c r="G442" s="548"/>
      <c r="H442" s="546">
        <v>1959000</v>
      </c>
    </row>
    <row r="443" spans="1:8" s="404" customFormat="1">
      <c r="A443" s="2245"/>
      <c r="B443" s="2265"/>
      <c r="C443" s="2223" t="s">
        <v>665</v>
      </c>
      <c r="D443" s="2224"/>
      <c r="E443" s="2225"/>
      <c r="F443" s="557"/>
      <c r="G443" s="548"/>
      <c r="H443" s="546">
        <v>1482000</v>
      </c>
    </row>
    <row r="444" spans="1:8" s="404" customFormat="1">
      <c r="A444" s="2245"/>
      <c r="B444" s="2265"/>
      <c r="C444" s="2223" t="s">
        <v>666</v>
      </c>
      <c r="D444" s="2224"/>
      <c r="E444" s="2225"/>
      <c r="F444" s="557"/>
      <c r="G444" s="548"/>
      <c r="H444" s="546">
        <v>1364000</v>
      </c>
    </row>
    <row r="445" spans="1:8" s="404" customFormat="1">
      <c r="A445" s="2245"/>
      <c r="B445" s="2265"/>
      <c r="C445" s="2223" t="s">
        <v>667</v>
      </c>
      <c r="D445" s="2224"/>
      <c r="E445" s="2225"/>
      <c r="F445" s="557"/>
      <c r="G445" s="548"/>
      <c r="H445" s="546">
        <v>5012000</v>
      </c>
    </row>
    <row r="446" spans="1:8" s="404" customFormat="1">
      <c r="A446" s="2245"/>
      <c r="B446" s="2265"/>
      <c r="C446" s="2223" t="s">
        <v>668</v>
      </c>
      <c r="D446" s="2224"/>
      <c r="E446" s="2225"/>
      <c r="F446" s="557"/>
      <c r="G446" s="548"/>
      <c r="H446" s="546">
        <v>8000000</v>
      </c>
    </row>
    <row r="447" spans="1:8" s="404" customFormat="1">
      <c r="A447" s="2245"/>
      <c r="B447" s="2265"/>
      <c r="C447" s="2223" t="s">
        <v>669</v>
      </c>
      <c r="D447" s="2224"/>
      <c r="E447" s="2225"/>
      <c r="F447" s="557"/>
      <c r="G447" s="548"/>
      <c r="H447" s="546">
        <v>400000</v>
      </c>
    </row>
    <row r="448" spans="1:8" s="404" customFormat="1" ht="16.5" customHeight="1">
      <c r="A448" s="2245"/>
      <c r="B448" s="2265"/>
      <c r="C448" s="2223" t="s">
        <v>670</v>
      </c>
      <c r="D448" s="2224"/>
      <c r="E448" s="2225"/>
      <c r="F448" s="557"/>
      <c r="G448" s="548"/>
      <c r="H448" s="550">
        <v>184000</v>
      </c>
    </row>
    <row r="449" spans="1:9" s="404" customFormat="1" ht="16.5" customHeight="1">
      <c r="A449" s="2245"/>
      <c r="B449" s="2265"/>
      <c r="C449" s="2223" t="s">
        <v>1521</v>
      </c>
      <c r="D449" s="2224"/>
      <c r="E449" s="2225"/>
      <c r="F449" s="579" t="s">
        <v>1522</v>
      </c>
      <c r="G449" s="548"/>
      <c r="H449" s="550">
        <v>14000000</v>
      </c>
    </row>
    <row r="450" spans="1:9" s="404" customFormat="1" ht="16.5" customHeight="1">
      <c r="A450" s="2245"/>
      <c r="B450" s="2265"/>
      <c r="C450" s="2223" t="s">
        <v>1521</v>
      </c>
      <c r="D450" s="2224"/>
      <c r="E450" s="2225"/>
      <c r="F450" s="579" t="s">
        <v>1523</v>
      </c>
      <c r="G450" s="548"/>
      <c r="H450" s="550">
        <v>16000000</v>
      </c>
    </row>
    <row r="451" spans="1:9" s="404" customFormat="1" ht="16.5" customHeight="1">
      <c r="A451" s="2245"/>
      <c r="B451" s="2265"/>
      <c r="C451" s="2223" t="s">
        <v>663</v>
      </c>
      <c r="D451" s="2224"/>
      <c r="E451" s="2225"/>
      <c r="F451" s="579"/>
      <c r="G451" s="548"/>
      <c r="H451" s="550">
        <v>3063000</v>
      </c>
    </row>
    <row r="452" spans="1:9" s="404" customFormat="1" ht="16.5" customHeight="1">
      <c r="A452" s="2245"/>
      <c r="B452" s="2265"/>
      <c r="C452" s="2223" t="s">
        <v>1620</v>
      </c>
      <c r="D452" s="2224"/>
      <c r="E452" s="2225"/>
      <c r="F452" s="579" t="s">
        <v>1806</v>
      </c>
      <c r="G452" s="548"/>
      <c r="H452" s="550">
        <v>92000</v>
      </c>
    </row>
    <row r="453" spans="1:9" s="404" customFormat="1" ht="16.5" customHeight="1">
      <c r="A453" s="2245"/>
      <c r="B453" s="2265"/>
      <c r="C453" s="2223" t="s">
        <v>1620</v>
      </c>
      <c r="D453" s="2224"/>
      <c r="E453" s="2225"/>
      <c r="F453" s="579" t="s">
        <v>1810</v>
      </c>
      <c r="G453" s="548"/>
      <c r="H453" s="550">
        <v>1282500</v>
      </c>
    </row>
    <row r="454" spans="1:9" s="404" customFormat="1" ht="16.5" customHeight="1">
      <c r="A454" s="2245"/>
      <c r="B454" s="2265"/>
      <c r="C454" s="2223" t="s">
        <v>1620</v>
      </c>
      <c r="D454" s="2224"/>
      <c r="E454" s="2225"/>
      <c r="F454" s="579" t="s">
        <v>1811</v>
      </c>
      <c r="G454" s="548"/>
      <c r="H454" s="550">
        <v>1162500</v>
      </c>
    </row>
    <row r="455" spans="1:9" s="404" customFormat="1" ht="16.5" customHeight="1">
      <c r="A455" s="2245"/>
      <c r="B455" s="2265"/>
      <c r="C455" s="2223" t="s">
        <v>1724</v>
      </c>
      <c r="D455" s="2224"/>
      <c r="E455" s="2225"/>
      <c r="F455" s="579"/>
      <c r="G455" s="548"/>
      <c r="H455" s="550">
        <v>7270560</v>
      </c>
    </row>
    <row r="456" spans="1:9" s="404" customFormat="1" ht="16.5" customHeight="1">
      <c r="A456" s="2245"/>
      <c r="B456" s="2265"/>
      <c r="C456" s="2223" t="s">
        <v>1725</v>
      </c>
      <c r="D456" s="2224"/>
      <c r="E456" s="2225"/>
      <c r="F456" s="579"/>
      <c r="G456" s="548"/>
      <c r="H456" s="550">
        <v>450394</v>
      </c>
    </row>
    <row r="457" spans="1:9" s="404" customFormat="1" ht="16.5" customHeight="1">
      <c r="A457" s="2245"/>
      <c r="B457" s="2265"/>
      <c r="C457" s="2223" t="s">
        <v>1726</v>
      </c>
      <c r="D457" s="2224"/>
      <c r="E457" s="2225"/>
      <c r="F457" s="579"/>
      <c r="G457" s="548"/>
      <c r="H457" s="550">
        <v>675590</v>
      </c>
    </row>
    <row r="458" spans="1:9" s="404" customFormat="1" ht="16.5" customHeight="1">
      <c r="A458" s="2245"/>
      <c r="B458" s="2265"/>
      <c r="C458" s="2223" t="s">
        <v>1764</v>
      </c>
      <c r="D458" s="2224"/>
      <c r="E458" s="2225"/>
      <c r="F458" s="579"/>
      <c r="G458" s="548"/>
      <c r="H458" s="550">
        <v>100000</v>
      </c>
    </row>
    <row r="459" spans="1:9" s="404" customFormat="1" ht="16.5" customHeight="1">
      <c r="A459" s="2245"/>
      <c r="B459" s="2265"/>
      <c r="C459" s="2223" t="s">
        <v>1812</v>
      </c>
      <c r="D459" s="2224"/>
      <c r="E459" s="2225"/>
      <c r="F459" s="579" t="s">
        <v>1813</v>
      </c>
      <c r="G459" s="548"/>
      <c r="H459" s="550">
        <v>3400000</v>
      </c>
    </row>
    <row r="460" spans="1:9" s="404" customFormat="1" ht="16.5" customHeight="1" thickBot="1">
      <c r="A460" s="2245"/>
      <c r="B460" s="2265"/>
      <c r="C460" s="2226" t="s">
        <v>1814</v>
      </c>
      <c r="D460" s="2227"/>
      <c r="E460" s="2228"/>
      <c r="F460" s="579" t="s">
        <v>1815</v>
      </c>
      <c r="G460" s="548"/>
      <c r="H460" s="550">
        <v>4600000</v>
      </c>
    </row>
    <row r="461" spans="1:9" s="404" customFormat="1" ht="15.75" thickTop="1">
      <c r="A461" s="2246"/>
      <c r="B461" s="2274"/>
      <c r="C461" s="2428" t="s">
        <v>1924</v>
      </c>
      <c r="D461" s="2429"/>
      <c r="E461" s="2429"/>
      <c r="F461" s="2429"/>
      <c r="G461" s="2430"/>
      <c r="H461" s="565">
        <f>SUM(H414:H460)</f>
        <v>115306562</v>
      </c>
    </row>
    <row r="462" spans="1:9" s="404" customFormat="1">
      <c r="A462" s="2256" t="s">
        <v>466</v>
      </c>
      <c r="B462" s="2258" t="s">
        <v>467</v>
      </c>
      <c r="C462" s="2259"/>
      <c r="D462" s="2259"/>
      <c r="E462" s="2256"/>
      <c r="F462" s="2262" t="s">
        <v>1929</v>
      </c>
      <c r="G462" s="2258" t="s">
        <v>1484</v>
      </c>
      <c r="H462" s="2256"/>
      <c r="I462" s="1968"/>
    </row>
    <row r="463" spans="1:9" s="404" customFormat="1">
      <c r="A463" s="2257"/>
      <c r="B463" s="2260"/>
      <c r="C463" s="2261"/>
      <c r="D463" s="2261"/>
      <c r="E463" s="2257"/>
      <c r="F463" s="2263"/>
      <c r="G463" s="2260"/>
      <c r="H463" s="2257"/>
      <c r="I463" s="1969"/>
    </row>
    <row r="464" spans="1:9" s="404" customFormat="1">
      <c r="A464" s="2244"/>
      <c r="B464" s="2264"/>
      <c r="C464" s="2296" t="s">
        <v>671</v>
      </c>
      <c r="D464" s="2272"/>
      <c r="E464" s="2272"/>
      <c r="F464" s="2272"/>
      <c r="G464" s="2272"/>
      <c r="H464" s="2273"/>
    </row>
    <row r="465" spans="1:8" s="404" customFormat="1">
      <c r="A465" s="2245"/>
      <c r="B465" s="2265"/>
      <c r="C465" s="2247" t="s">
        <v>672</v>
      </c>
      <c r="D465" s="2248"/>
      <c r="E465" s="2249"/>
      <c r="F465" s="579" t="s">
        <v>673</v>
      </c>
      <c r="G465" s="548"/>
      <c r="H465" s="546">
        <v>167214395</v>
      </c>
    </row>
    <row r="466" spans="1:8" s="404" customFormat="1">
      <c r="A466" s="2245"/>
      <c r="B466" s="2265"/>
      <c r="C466" s="2223" t="s">
        <v>674</v>
      </c>
      <c r="D466" s="2224"/>
      <c r="E466" s="2225"/>
      <c r="F466" s="579" t="s">
        <v>675</v>
      </c>
      <c r="G466" s="548"/>
      <c r="H466" s="546">
        <v>1068817</v>
      </c>
    </row>
    <row r="467" spans="1:8" s="404" customFormat="1">
      <c r="A467" s="2245"/>
      <c r="B467" s="2265"/>
      <c r="C467" s="2223" t="s">
        <v>676</v>
      </c>
      <c r="D467" s="2224"/>
      <c r="E467" s="2225"/>
      <c r="F467" s="557"/>
      <c r="G467" s="548"/>
      <c r="H467" s="546">
        <v>32393505</v>
      </c>
    </row>
    <row r="468" spans="1:8" s="404" customFormat="1">
      <c r="A468" s="2245"/>
      <c r="B468" s="2265"/>
      <c r="C468" s="2223" t="s">
        <v>677</v>
      </c>
      <c r="D468" s="2224"/>
      <c r="E468" s="2225"/>
      <c r="F468" s="557"/>
      <c r="G468" s="548"/>
      <c r="H468" s="546">
        <v>4568585</v>
      </c>
    </row>
    <row r="469" spans="1:8" s="404" customFormat="1">
      <c r="A469" s="2245"/>
      <c r="B469" s="2265"/>
      <c r="C469" s="2223" t="s">
        <v>678</v>
      </c>
      <c r="D469" s="2224"/>
      <c r="E469" s="2225"/>
      <c r="F469" s="1962"/>
      <c r="G469" s="548"/>
      <c r="H469" s="546">
        <v>9172041</v>
      </c>
    </row>
    <row r="470" spans="1:8" s="404" customFormat="1">
      <c r="A470" s="2245"/>
      <c r="B470" s="2265"/>
      <c r="C470" s="2223" t="s">
        <v>679</v>
      </c>
      <c r="D470" s="2224"/>
      <c r="E470" s="2225"/>
      <c r="F470" s="557"/>
      <c r="G470" s="548"/>
      <c r="H470" s="546">
        <v>1515506</v>
      </c>
    </row>
    <row r="471" spans="1:8" s="404" customFormat="1">
      <c r="A471" s="2245"/>
      <c r="B471" s="2265"/>
      <c r="C471" s="2223" t="s">
        <v>680</v>
      </c>
      <c r="D471" s="2224"/>
      <c r="E471" s="2225"/>
      <c r="F471" s="557" t="s">
        <v>681</v>
      </c>
      <c r="G471" s="548"/>
      <c r="H471" s="546">
        <v>30573064</v>
      </c>
    </row>
    <row r="472" spans="1:8" s="404" customFormat="1">
      <c r="A472" s="2245"/>
      <c r="B472" s="2265"/>
      <c r="C472" s="2223" t="s">
        <v>682</v>
      </c>
      <c r="D472" s="2224"/>
      <c r="E472" s="2225"/>
      <c r="F472" s="557" t="s">
        <v>683</v>
      </c>
      <c r="G472" s="548"/>
      <c r="H472" s="546">
        <v>47297852</v>
      </c>
    </row>
    <row r="473" spans="1:8" s="404" customFormat="1">
      <c r="A473" s="2245"/>
      <c r="B473" s="2265"/>
      <c r="C473" s="2223" t="s">
        <v>669</v>
      </c>
      <c r="D473" s="2224"/>
      <c r="E473" s="2225"/>
      <c r="F473" s="557" t="s">
        <v>684</v>
      </c>
      <c r="G473" s="548"/>
      <c r="H473" s="546">
        <v>1107339</v>
      </c>
    </row>
    <row r="474" spans="1:8" s="404" customFormat="1">
      <c r="A474" s="2245"/>
      <c r="B474" s="2265"/>
      <c r="C474" s="2223" t="s">
        <v>685</v>
      </c>
      <c r="D474" s="2224"/>
      <c r="E474" s="2225"/>
      <c r="F474" s="557" t="s">
        <v>686</v>
      </c>
      <c r="G474" s="548"/>
      <c r="H474" s="546">
        <v>987969</v>
      </c>
    </row>
    <row r="475" spans="1:8" s="404" customFormat="1">
      <c r="A475" s="2245"/>
      <c r="B475" s="2265"/>
      <c r="C475" s="2223" t="s">
        <v>687</v>
      </c>
      <c r="D475" s="2224"/>
      <c r="E475" s="2225"/>
      <c r="F475" s="557" t="s">
        <v>688</v>
      </c>
      <c r="G475" s="548"/>
      <c r="H475" s="546">
        <v>52088142</v>
      </c>
    </row>
    <row r="476" spans="1:8" s="404" customFormat="1">
      <c r="A476" s="2245"/>
      <c r="B476" s="2265"/>
      <c r="C476" s="2223" t="s">
        <v>689</v>
      </c>
      <c r="D476" s="2224"/>
      <c r="E476" s="2225"/>
      <c r="F476" s="557" t="s">
        <v>639</v>
      </c>
      <c r="G476" s="548"/>
      <c r="H476" s="546">
        <v>4693797</v>
      </c>
    </row>
    <row r="477" spans="1:8" s="404" customFormat="1">
      <c r="A477" s="2245"/>
      <c r="B477" s="2265"/>
      <c r="C477" s="2223" t="s">
        <v>690</v>
      </c>
      <c r="D477" s="2224"/>
      <c r="E477" s="2225"/>
      <c r="F477" s="557"/>
      <c r="G477" s="548"/>
      <c r="H477" s="546">
        <v>94346</v>
      </c>
    </row>
    <row r="478" spans="1:8" s="404" customFormat="1">
      <c r="A478" s="2245"/>
      <c r="B478" s="2265"/>
      <c r="C478" s="2223" t="s">
        <v>691</v>
      </c>
      <c r="D478" s="2224"/>
      <c r="E478" s="2225"/>
      <c r="F478" s="557" t="s">
        <v>642</v>
      </c>
      <c r="G478" s="547"/>
      <c r="H478" s="546">
        <v>5534</v>
      </c>
    </row>
    <row r="479" spans="1:8" s="404" customFormat="1">
      <c r="A479" s="2245"/>
      <c r="B479" s="2265"/>
      <c r="C479" s="2223" t="s">
        <v>692</v>
      </c>
      <c r="D479" s="2224"/>
      <c r="E479" s="2225"/>
      <c r="F479" s="557" t="s">
        <v>693</v>
      </c>
      <c r="G479" s="547"/>
      <c r="H479" s="546">
        <v>5564230</v>
      </c>
    </row>
    <row r="480" spans="1:8" s="404" customFormat="1">
      <c r="A480" s="2245"/>
      <c r="B480" s="2265"/>
      <c r="C480" s="2223" t="s">
        <v>694</v>
      </c>
      <c r="D480" s="2224"/>
      <c r="E480" s="2225"/>
      <c r="F480" s="557" t="s">
        <v>695</v>
      </c>
      <c r="G480" s="547"/>
      <c r="H480" s="546">
        <v>1130760</v>
      </c>
    </row>
    <row r="481" spans="1:8" s="404" customFormat="1">
      <c r="A481" s="2245"/>
      <c r="B481" s="2265"/>
      <c r="C481" s="2223" t="s">
        <v>696</v>
      </c>
      <c r="D481" s="2224"/>
      <c r="E481" s="2225"/>
      <c r="F481" s="557" t="s">
        <v>697</v>
      </c>
      <c r="G481" s="547"/>
      <c r="H481" s="546">
        <v>2763182</v>
      </c>
    </row>
    <row r="482" spans="1:8" s="404" customFormat="1">
      <c r="A482" s="2245"/>
      <c r="B482" s="2265"/>
      <c r="C482" s="2223" t="s">
        <v>698</v>
      </c>
      <c r="D482" s="2224"/>
      <c r="E482" s="2225"/>
      <c r="F482" s="557" t="s">
        <v>699</v>
      </c>
      <c r="G482" s="547"/>
      <c r="H482" s="546">
        <v>1548030</v>
      </c>
    </row>
    <row r="483" spans="1:8" s="404" customFormat="1">
      <c r="A483" s="2245"/>
      <c r="B483" s="2265"/>
      <c r="C483" s="2223" t="s">
        <v>700</v>
      </c>
      <c r="D483" s="2224"/>
      <c r="E483" s="2225"/>
      <c r="F483" s="557" t="s">
        <v>644</v>
      </c>
      <c r="G483" s="547"/>
      <c r="H483" s="546">
        <v>2254302</v>
      </c>
    </row>
    <row r="484" spans="1:8" s="404" customFormat="1">
      <c r="A484" s="2245"/>
      <c r="B484" s="2265"/>
      <c r="C484" s="2223" t="s">
        <v>1840</v>
      </c>
      <c r="D484" s="2224"/>
      <c r="E484" s="2225"/>
      <c r="F484" s="557" t="s">
        <v>701</v>
      </c>
      <c r="G484" s="547"/>
      <c r="H484" s="546">
        <v>43968671</v>
      </c>
    </row>
    <row r="485" spans="1:8" s="404" customFormat="1">
      <c r="A485" s="2245"/>
      <c r="B485" s="2265"/>
      <c r="C485" s="2223" t="s">
        <v>702</v>
      </c>
      <c r="D485" s="2224"/>
      <c r="E485" s="2225"/>
      <c r="F485" s="557"/>
      <c r="G485" s="547"/>
      <c r="H485" s="546">
        <v>186787</v>
      </c>
    </row>
    <row r="486" spans="1:8" s="404" customFormat="1">
      <c r="A486" s="2245"/>
      <c r="B486" s="2265"/>
      <c r="C486" s="2223" t="s">
        <v>703</v>
      </c>
      <c r="D486" s="2224"/>
      <c r="E486" s="2225"/>
      <c r="F486" s="557" t="s">
        <v>704</v>
      </c>
      <c r="G486" s="547"/>
      <c r="H486" s="546">
        <v>49981555</v>
      </c>
    </row>
    <row r="487" spans="1:8" s="404" customFormat="1">
      <c r="A487" s="2245"/>
      <c r="B487" s="2265"/>
      <c r="C487" s="2223" t="s">
        <v>705</v>
      </c>
      <c r="D487" s="2224"/>
      <c r="E487" s="2225"/>
      <c r="F487" s="557" t="s">
        <v>706</v>
      </c>
      <c r="G487" s="547"/>
      <c r="H487" s="546">
        <v>25726951</v>
      </c>
    </row>
    <row r="488" spans="1:8" s="404" customFormat="1">
      <c r="A488" s="2245"/>
      <c r="B488" s="2265"/>
      <c r="C488" s="2247" t="s">
        <v>707</v>
      </c>
      <c r="D488" s="2248"/>
      <c r="E488" s="2249"/>
      <c r="F488" s="579"/>
      <c r="G488" s="547"/>
      <c r="H488" s="546">
        <v>9489699</v>
      </c>
    </row>
    <row r="489" spans="1:8" s="404" customFormat="1">
      <c r="A489" s="2245"/>
      <c r="B489" s="2265"/>
      <c r="C489" s="2223" t="s">
        <v>708</v>
      </c>
      <c r="D489" s="2224"/>
      <c r="E489" s="2225"/>
      <c r="F489" s="579" t="s">
        <v>709</v>
      </c>
      <c r="G489" s="547"/>
      <c r="H489" s="546">
        <v>1524903</v>
      </c>
    </row>
    <row r="490" spans="1:8" s="404" customFormat="1">
      <c r="A490" s="2245"/>
      <c r="B490" s="2265"/>
      <c r="C490" s="2223" t="s">
        <v>712</v>
      </c>
      <c r="D490" s="2224"/>
      <c r="E490" s="2225"/>
      <c r="F490" s="557" t="s">
        <v>574</v>
      </c>
      <c r="G490" s="548"/>
      <c r="H490" s="546">
        <v>11234</v>
      </c>
    </row>
    <row r="491" spans="1:8" s="404" customFormat="1">
      <c r="A491" s="2245"/>
      <c r="B491" s="2265"/>
      <c r="C491" s="2223" t="s">
        <v>714</v>
      </c>
      <c r="D491" s="2224"/>
      <c r="E491" s="2225"/>
      <c r="F491" s="557" t="s">
        <v>755</v>
      </c>
      <c r="G491" s="548"/>
      <c r="H491" s="546">
        <v>27727203</v>
      </c>
    </row>
    <row r="492" spans="1:8" s="404" customFormat="1">
      <c r="A492" s="2245"/>
      <c r="B492" s="2265"/>
      <c r="C492" s="2223" t="s">
        <v>715</v>
      </c>
      <c r="D492" s="2224"/>
      <c r="E492" s="2225"/>
      <c r="F492" s="557"/>
      <c r="G492" s="548"/>
      <c r="H492" s="546">
        <v>128255</v>
      </c>
    </row>
    <row r="493" spans="1:8" s="404" customFormat="1">
      <c r="A493" s="2245"/>
      <c r="B493" s="2265"/>
      <c r="C493" s="2223" t="s">
        <v>716</v>
      </c>
      <c r="D493" s="2224"/>
      <c r="E493" s="2225"/>
      <c r="F493" s="557"/>
      <c r="G493" s="548"/>
      <c r="H493" s="546">
        <v>676902</v>
      </c>
    </row>
    <row r="494" spans="1:8" s="404" customFormat="1">
      <c r="A494" s="2245"/>
      <c r="B494" s="2265"/>
      <c r="C494" s="2223" t="s">
        <v>718</v>
      </c>
      <c r="D494" s="2224"/>
      <c r="E494" s="2225"/>
      <c r="F494" s="557"/>
      <c r="G494" s="548"/>
      <c r="H494" s="546">
        <v>495076</v>
      </c>
    </row>
    <row r="495" spans="1:8" s="404" customFormat="1">
      <c r="A495" s="2245"/>
      <c r="B495" s="2265"/>
      <c r="C495" s="2223" t="s">
        <v>719</v>
      </c>
      <c r="D495" s="2224"/>
      <c r="E495" s="2225"/>
      <c r="F495" s="557"/>
      <c r="G495" s="548"/>
      <c r="H495" s="546">
        <v>366029</v>
      </c>
    </row>
    <row r="496" spans="1:8" s="404" customFormat="1">
      <c r="A496" s="2245"/>
      <c r="B496" s="2265"/>
      <c r="C496" s="2223" t="s">
        <v>720</v>
      </c>
      <c r="D496" s="2224"/>
      <c r="E496" s="2225"/>
      <c r="F496" s="557"/>
      <c r="G496" s="1942"/>
      <c r="H496" s="546">
        <v>149691</v>
      </c>
    </row>
    <row r="497" spans="1:8" s="404" customFormat="1">
      <c r="A497" s="2245"/>
      <c r="B497" s="2265"/>
      <c r="C497" s="2223" t="s">
        <v>721</v>
      </c>
      <c r="D497" s="2224"/>
      <c r="E497" s="2225"/>
      <c r="F497" s="579"/>
      <c r="G497" s="1942"/>
      <c r="H497" s="546">
        <v>192163</v>
      </c>
    </row>
    <row r="498" spans="1:8" s="404" customFormat="1">
      <c r="A498" s="2245"/>
      <c r="B498" s="2265"/>
      <c r="C498" s="2223" t="s">
        <v>722</v>
      </c>
      <c r="D498" s="2224"/>
      <c r="E498" s="2225"/>
      <c r="F498" s="579"/>
      <c r="G498" s="548"/>
      <c r="H498" s="550">
        <v>192386</v>
      </c>
    </row>
    <row r="499" spans="1:8" s="404" customFormat="1">
      <c r="A499" s="2245"/>
      <c r="B499" s="2265"/>
      <c r="C499" s="2223" t="s">
        <v>724</v>
      </c>
      <c r="D499" s="2224"/>
      <c r="E499" s="2225"/>
      <c r="F499" s="1970"/>
      <c r="G499" s="548"/>
      <c r="H499" s="546">
        <v>332162</v>
      </c>
    </row>
    <row r="500" spans="1:8" s="404" customFormat="1">
      <c r="A500" s="2245"/>
      <c r="B500" s="2265"/>
      <c r="C500" s="2223" t="s">
        <v>725</v>
      </c>
      <c r="D500" s="2224"/>
      <c r="E500" s="2225"/>
      <c r="F500" s="1971"/>
      <c r="G500" s="1961"/>
      <c r="H500" s="546">
        <v>696365</v>
      </c>
    </row>
    <row r="501" spans="1:8" s="404" customFormat="1">
      <c r="A501" s="2245"/>
      <c r="B501" s="2265"/>
      <c r="C501" s="2223" t="s">
        <v>726</v>
      </c>
      <c r="D501" s="2224"/>
      <c r="E501" s="2225"/>
      <c r="F501" s="1971"/>
      <c r="G501" s="1961"/>
      <c r="H501" s="546">
        <v>248376</v>
      </c>
    </row>
    <row r="502" spans="1:8" s="404" customFormat="1">
      <c r="A502" s="2245"/>
      <c r="B502" s="2265"/>
      <c r="C502" s="2223" t="s">
        <v>727</v>
      </c>
      <c r="D502" s="2224"/>
      <c r="E502" s="2225"/>
      <c r="F502" s="1971"/>
      <c r="G502" s="1961"/>
      <c r="H502" s="546">
        <v>136341</v>
      </c>
    </row>
    <row r="503" spans="1:8" s="404" customFormat="1">
      <c r="A503" s="2245"/>
      <c r="B503" s="2265"/>
      <c r="C503" s="2223" t="s">
        <v>728</v>
      </c>
      <c r="D503" s="2224"/>
      <c r="E503" s="2225"/>
      <c r="F503" s="1971"/>
      <c r="G503" s="1961"/>
      <c r="H503" s="546">
        <v>353601</v>
      </c>
    </row>
    <row r="504" spans="1:8" s="404" customFormat="1">
      <c r="A504" s="2245"/>
      <c r="B504" s="2265"/>
      <c r="C504" s="2223" t="s">
        <v>729</v>
      </c>
      <c r="D504" s="2224"/>
      <c r="E504" s="2225"/>
      <c r="F504" s="1971"/>
      <c r="G504" s="1961"/>
      <c r="H504" s="546">
        <v>379522</v>
      </c>
    </row>
    <row r="505" spans="1:8" s="404" customFormat="1">
      <c r="A505" s="2245"/>
      <c r="B505" s="2265"/>
      <c r="C505" s="2223" t="s">
        <v>730</v>
      </c>
      <c r="D505" s="2224"/>
      <c r="E505" s="2225"/>
      <c r="F505" s="557">
        <v>57</v>
      </c>
      <c r="G505" s="1961"/>
      <c r="H505" s="546">
        <v>1005641</v>
      </c>
    </row>
    <row r="506" spans="1:8" s="404" customFormat="1">
      <c r="A506" s="2245"/>
      <c r="B506" s="2265"/>
      <c r="C506" s="2223" t="s">
        <v>731</v>
      </c>
      <c r="D506" s="2224"/>
      <c r="E506" s="2225"/>
      <c r="F506" s="557" t="s">
        <v>619</v>
      </c>
      <c r="G506" s="1961"/>
      <c r="H506" s="546">
        <v>269068</v>
      </c>
    </row>
    <row r="507" spans="1:8" s="404" customFormat="1">
      <c r="A507" s="2245"/>
      <c r="B507" s="2265"/>
      <c r="C507" s="2223" t="s">
        <v>731</v>
      </c>
      <c r="D507" s="2224"/>
      <c r="E507" s="2225"/>
      <c r="F507" s="557">
        <v>59</v>
      </c>
      <c r="G507" s="1961"/>
      <c r="H507" s="546">
        <v>86815</v>
      </c>
    </row>
    <row r="508" spans="1:8" s="404" customFormat="1">
      <c r="A508" s="2245"/>
      <c r="B508" s="2265"/>
      <c r="C508" s="2223" t="s">
        <v>732</v>
      </c>
      <c r="D508" s="2224"/>
      <c r="E508" s="2225"/>
      <c r="F508" s="557">
        <v>6</v>
      </c>
      <c r="G508" s="1961"/>
      <c r="H508" s="546">
        <v>465015</v>
      </c>
    </row>
    <row r="509" spans="1:8" s="404" customFormat="1">
      <c r="A509" s="2245"/>
      <c r="B509" s="2265"/>
      <c r="C509" s="2223" t="s">
        <v>731</v>
      </c>
      <c r="D509" s="2224"/>
      <c r="E509" s="2225"/>
      <c r="F509" s="557">
        <v>61</v>
      </c>
      <c r="G509" s="1961"/>
      <c r="H509" s="546">
        <v>374791</v>
      </c>
    </row>
    <row r="510" spans="1:8" s="404" customFormat="1">
      <c r="A510" s="2245"/>
      <c r="B510" s="2265"/>
      <c r="C510" s="2223" t="s">
        <v>731</v>
      </c>
      <c r="D510" s="2224"/>
      <c r="E510" s="2225"/>
      <c r="F510" s="557">
        <v>80</v>
      </c>
      <c r="G510" s="548"/>
      <c r="H510" s="546">
        <v>84940</v>
      </c>
    </row>
    <row r="511" spans="1:8" s="404" customFormat="1">
      <c r="A511" s="2245"/>
      <c r="B511" s="2265"/>
      <c r="C511" s="2223" t="s">
        <v>735</v>
      </c>
      <c r="D511" s="2224"/>
      <c r="E511" s="2225"/>
      <c r="F511" s="557" t="s">
        <v>606</v>
      </c>
      <c r="G511" s="547"/>
      <c r="H511" s="546">
        <v>296234</v>
      </c>
    </row>
    <row r="512" spans="1:8" s="404" customFormat="1">
      <c r="A512" s="2245"/>
      <c r="B512" s="2265"/>
      <c r="C512" s="2223" t="s">
        <v>736</v>
      </c>
      <c r="D512" s="2224"/>
      <c r="E512" s="2225"/>
      <c r="F512" s="557" t="s">
        <v>701</v>
      </c>
      <c r="G512" s="547"/>
      <c r="H512" s="546">
        <v>3848</v>
      </c>
    </row>
    <row r="513" spans="1:8" s="404" customFormat="1">
      <c r="A513" s="2245"/>
      <c r="B513" s="2265"/>
      <c r="C513" s="2223" t="s">
        <v>737</v>
      </c>
      <c r="D513" s="2224"/>
      <c r="E513" s="2225"/>
      <c r="F513" s="557">
        <v>1650</v>
      </c>
      <c r="G513" s="548"/>
      <c r="H513" s="546">
        <v>3468</v>
      </c>
    </row>
    <row r="514" spans="1:8" s="404" customFormat="1" ht="15.75" customHeight="1">
      <c r="A514" s="2245"/>
      <c r="B514" s="2265"/>
      <c r="C514" s="2223" t="s">
        <v>739</v>
      </c>
      <c r="D514" s="2224"/>
      <c r="E514" s="2225"/>
      <c r="F514" s="1962">
        <v>90</v>
      </c>
      <c r="G514" s="548"/>
      <c r="H514" s="546">
        <v>2649</v>
      </c>
    </row>
    <row r="515" spans="1:8" s="404" customFormat="1">
      <c r="A515" s="2245"/>
      <c r="B515" s="2265"/>
      <c r="C515" s="2223" t="s">
        <v>740</v>
      </c>
      <c r="D515" s="2224"/>
      <c r="E515" s="2225"/>
      <c r="F515" s="557" t="s">
        <v>741</v>
      </c>
      <c r="G515" s="548"/>
      <c r="H515" s="546">
        <v>44020</v>
      </c>
    </row>
    <row r="516" spans="1:8" s="404" customFormat="1">
      <c r="A516" s="2245"/>
      <c r="B516" s="2265"/>
      <c r="C516" s="2223" t="s">
        <v>742</v>
      </c>
      <c r="D516" s="2224"/>
      <c r="E516" s="2225"/>
      <c r="F516" s="557" t="s">
        <v>743</v>
      </c>
      <c r="G516" s="548"/>
      <c r="H516" s="546">
        <v>69767</v>
      </c>
    </row>
    <row r="517" spans="1:8" s="404" customFormat="1">
      <c r="A517" s="2245"/>
      <c r="B517" s="2265"/>
      <c r="C517" s="2223" t="s">
        <v>744</v>
      </c>
      <c r="D517" s="2224"/>
      <c r="E517" s="2225"/>
      <c r="F517" s="557" t="s">
        <v>586</v>
      </c>
      <c r="G517" s="548"/>
      <c r="H517" s="546">
        <v>1523</v>
      </c>
    </row>
    <row r="518" spans="1:8" s="404" customFormat="1">
      <c r="A518" s="2245"/>
      <c r="B518" s="2265"/>
      <c r="C518" s="2223" t="s">
        <v>745</v>
      </c>
      <c r="D518" s="2224"/>
      <c r="E518" s="2225"/>
      <c r="F518" s="557" t="s">
        <v>693</v>
      </c>
      <c r="G518" s="548"/>
      <c r="H518" s="546">
        <v>133237</v>
      </c>
    </row>
    <row r="519" spans="1:8" s="404" customFormat="1">
      <c r="A519" s="2245"/>
      <c r="B519" s="2265"/>
      <c r="C519" s="2223" t="s">
        <v>746</v>
      </c>
      <c r="D519" s="2224"/>
      <c r="E519" s="2225"/>
      <c r="F519" s="557" t="s">
        <v>693</v>
      </c>
      <c r="G519" s="548"/>
      <c r="H519" s="546">
        <v>314031</v>
      </c>
    </row>
    <row r="520" spans="1:8" s="404" customFormat="1">
      <c r="A520" s="2245"/>
      <c r="B520" s="2265"/>
      <c r="C520" s="2223" t="s">
        <v>747</v>
      </c>
      <c r="D520" s="2224"/>
      <c r="E520" s="2225"/>
      <c r="F520" s="557" t="s">
        <v>688</v>
      </c>
      <c r="G520" s="548"/>
      <c r="H520" s="546">
        <v>16577</v>
      </c>
    </row>
    <row r="521" spans="1:8" s="404" customFormat="1">
      <c r="A521" s="2245"/>
      <c r="B521" s="2265"/>
      <c r="C521" s="2223" t="s">
        <v>748</v>
      </c>
      <c r="D521" s="2224"/>
      <c r="E521" s="2225"/>
      <c r="F521" s="557">
        <v>90</v>
      </c>
      <c r="G521" s="548"/>
      <c r="H521" s="546">
        <v>20999</v>
      </c>
    </row>
    <row r="522" spans="1:8" s="404" customFormat="1">
      <c r="A522" s="2245"/>
      <c r="B522" s="2265"/>
      <c r="C522" s="2223" t="s">
        <v>752</v>
      </c>
      <c r="D522" s="2224"/>
      <c r="E522" s="2225"/>
      <c r="F522" s="557" t="s">
        <v>586</v>
      </c>
      <c r="G522" s="548"/>
      <c r="H522" s="546">
        <v>105185</v>
      </c>
    </row>
    <row r="523" spans="1:8" s="404" customFormat="1">
      <c r="A523" s="2245"/>
      <c r="B523" s="2265"/>
      <c r="C523" s="2223" t="s">
        <v>753</v>
      </c>
      <c r="D523" s="2224"/>
      <c r="E523" s="2225"/>
      <c r="F523" s="557" t="s">
        <v>586</v>
      </c>
      <c r="G523" s="548"/>
      <c r="H523" s="546">
        <v>70080</v>
      </c>
    </row>
    <row r="524" spans="1:8" s="404" customFormat="1">
      <c r="A524" s="2245"/>
      <c r="B524" s="2265"/>
      <c r="C524" s="2223" t="s">
        <v>754</v>
      </c>
      <c r="D524" s="2224"/>
      <c r="E524" s="2225"/>
      <c r="F524" s="1960" t="s">
        <v>755</v>
      </c>
      <c r="G524" s="548"/>
      <c r="H524" s="546">
        <v>8773075</v>
      </c>
    </row>
    <row r="525" spans="1:8" s="404" customFormat="1">
      <c r="A525" s="2245"/>
      <c r="B525" s="2265"/>
      <c r="C525" s="2223" t="s">
        <v>758</v>
      </c>
      <c r="D525" s="2224"/>
      <c r="E525" s="2225"/>
      <c r="F525" s="557" t="s">
        <v>586</v>
      </c>
      <c r="G525" s="548"/>
      <c r="H525" s="546">
        <v>356823</v>
      </c>
    </row>
    <row r="526" spans="1:8" s="404" customFormat="1">
      <c r="A526" s="2245"/>
      <c r="B526" s="2265"/>
      <c r="C526" s="2223" t="s">
        <v>759</v>
      </c>
      <c r="D526" s="2224"/>
      <c r="E526" s="2225"/>
      <c r="F526" s="557" t="s">
        <v>755</v>
      </c>
      <c r="G526" s="548"/>
      <c r="H526" s="546">
        <v>754492</v>
      </c>
    </row>
    <row r="527" spans="1:8" s="404" customFormat="1">
      <c r="A527" s="2245"/>
      <c r="B527" s="2265"/>
      <c r="C527" s="2223" t="s">
        <v>760</v>
      </c>
      <c r="D527" s="2224"/>
      <c r="E527" s="2225"/>
      <c r="F527" s="557">
        <v>1505</v>
      </c>
      <c r="G527" s="548"/>
      <c r="H527" s="546">
        <v>2260108</v>
      </c>
    </row>
    <row r="528" spans="1:8" s="404" customFormat="1">
      <c r="A528" s="2245"/>
      <c r="B528" s="2265"/>
      <c r="C528" s="2223" t="s">
        <v>761</v>
      </c>
      <c r="D528" s="2224"/>
      <c r="E528" s="2225"/>
      <c r="F528" s="557" t="s">
        <v>762</v>
      </c>
      <c r="G528" s="548"/>
      <c r="H528" s="546">
        <v>107163</v>
      </c>
    </row>
    <row r="529" spans="1:9" s="404" customFormat="1">
      <c r="A529" s="2245"/>
      <c r="B529" s="2265"/>
      <c r="C529" s="2223" t="s">
        <v>763</v>
      </c>
      <c r="D529" s="2224"/>
      <c r="E529" s="2225"/>
      <c r="F529" s="557" t="s">
        <v>750</v>
      </c>
      <c r="G529" s="548"/>
      <c r="H529" s="546">
        <v>54360</v>
      </c>
    </row>
    <row r="530" spans="1:9" s="404" customFormat="1">
      <c r="A530" s="2245"/>
      <c r="B530" s="2265"/>
      <c r="C530" s="2223" t="s">
        <v>764</v>
      </c>
      <c r="D530" s="2224"/>
      <c r="E530" s="2225"/>
      <c r="F530" s="557" t="s">
        <v>741</v>
      </c>
      <c r="G530" s="548"/>
      <c r="H530" s="546">
        <v>260664</v>
      </c>
    </row>
    <row r="531" spans="1:9" s="404" customFormat="1">
      <c r="A531" s="2245"/>
      <c r="B531" s="2265"/>
      <c r="C531" s="2223" t="s">
        <v>765</v>
      </c>
      <c r="D531" s="2224"/>
      <c r="E531" s="2225"/>
      <c r="F531" s="557" t="s">
        <v>766</v>
      </c>
      <c r="G531" s="548"/>
      <c r="H531" s="546">
        <v>628055</v>
      </c>
    </row>
    <row r="532" spans="1:9" s="404" customFormat="1">
      <c r="A532" s="2245"/>
      <c r="B532" s="2265"/>
      <c r="C532" s="2223" t="s">
        <v>767</v>
      </c>
      <c r="D532" s="2224"/>
      <c r="E532" s="2225"/>
      <c r="F532" s="557" t="s">
        <v>762</v>
      </c>
      <c r="G532" s="548"/>
      <c r="H532" s="546">
        <v>41348</v>
      </c>
    </row>
    <row r="533" spans="1:9" s="404" customFormat="1">
      <c r="A533" s="2245"/>
      <c r="B533" s="2265"/>
      <c r="C533" s="2223" t="s">
        <v>769</v>
      </c>
      <c r="D533" s="2224"/>
      <c r="E533" s="2225"/>
      <c r="F533" s="557" t="s">
        <v>770</v>
      </c>
      <c r="G533" s="548"/>
      <c r="H533" s="546">
        <v>16920</v>
      </c>
    </row>
    <row r="534" spans="1:9" s="404" customFormat="1">
      <c r="A534" s="2245"/>
      <c r="B534" s="2265"/>
      <c r="C534" s="2223" t="s">
        <v>771</v>
      </c>
      <c r="D534" s="2224"/>
      <c r="E534" s="2225"/>
      <c r="F534" s="557" t="s">
        <v>772</v>
      </c>
      <c r="G534" s="548"/>
      <c r="H534" s="546">
        <v>423314</v>
      </c>
    </row>
    <row r="535" spans="1:9" s="404" customFormat="1">
      <c r="A535" s="2245"/>
      <c r="B535" s="2265"/>
      <c r="C535" s="2223" t="s">
        <v>773</v>
      </c>
      <c r="D535" s="2224"/>
      <c r="E535" s="2225"/>
      <c r="F535" s="557"/>
      <c r="G535" s="548"/>
      <c r="H535" s="546">
        <v>86995</v>
      </c>
      <c r="I535" s="1972"/>
    </row>
    <row r="536" spans="1:9" s="404" customFormat="1">
      <c r="A536" s="2245"/>
      <c r="B536" s="2265"/>
      <c r="C536" s="2223" t="s">
        <v>1816</v>
      </c>
      <c r="D536" s="2224"/>
      <c r="E536" s="2225"/>
      <c r="F536" s="557"/>
      <c r="G536" s="548"/>
      <c r="H536" s="546">
        <v>1037958</v>
      </c>
      <c r="I536" s="1972"/>
    </row>
    <row r="537" spans="1:9" s="404" customFormat="1">
      <c r="A537" s="2245"/>
      <c r="B537" s="2265"/>
      <c r="C537" s="2223" t="s">
        <v>774</v>
      </c>
      <c r="D537" s="2224"/>
      <c r="E537" s="2225"/>
      <c r="F537" s="557" t="s">
        <v>787</v>
      </c>
      <c r="G537" s="548"/>
      <c r="H537" s="546">
        <v>2479606</v>
      </c>
    </row>
    <row r="538" spans="1:9" s="404" customFormat="1">
      <c r="A538" s="2245"/>
      <c r="B538" s="2265"/>
      <c r="C538" s="2223" t="s">
        <v>775</v>
      </c>
      <c r="D538" s="2224"/>
      <c r="E538" s="2225"/>
      <c r="F538" s="557"/>
      <c r="G538" s="548"/>
      <c r="H538" s="546">
        <v>3306403</v>
      </c>
    </row>
    <row r="539" spans="1:9" s="404" customFormat="1">
      <c r="A539" s="2245"/>
      <c r="B539" s="2265"/>
      <c r="C539" s="2223" t="s">
        <v>776</v>
      </c>
      <c r="D539" s="2224"/>
      <c r="E539" s="2225"/>
      <c r="F539" s="557" t="s">
        <v>750</v>
      </c>
      <c r="G539" s="548"/>
      <c r="H539" s="546">
        <v>93544</v>
      </c>
    </row>
    <row r="540" spans="1:9" s="404" customFormat="1">
      <c r="A540" s="2245"/>
      <c r="B540" s="2265"/>
      <c r="C540" s="2223" t="s">
        <v>777</v>
      </c>
      <c r="D540" s="2224"/>
      <c r="E540" s="2225"/>
      <c r="F540" s="557">
        <v>346</v>
      </c>
      <c r="G540" s="548"/>
      <c r="H540" s="546">
        <v>121592</v>
      </c>
    </row>
    <row r="541" spans="1:9" s="404" customFormat="1">
      <c r="A541" s="2245"/>
      <c r="B541" s="2265"/>
      <c r="C541" s="2223" t="s">
        <v>757</v>
      </c>
      <c r="D541" s="2224"/>
      <c r="E541" s="2225"/>
      <c r="F541" s="579">
        <v>812</v>
      </c>
      <c r="G541" s="548"/>
      <c r="H541" s="550">
        <v>232312</v>
      </c>
    </row>
    <row r="542" spans="1:9" s="404" customFormat="1">
      <c r="A542" s="2245"/>
      <c r="B542" s="2265"/>
      <c r="C542" s="2223" t="s">
        <v>779</v>
      </c>
      <c r="D542" s="2224"/>
      <c r="E542" s="2225"/>
      <c r="F542" s="579"/>
      <c r="G542" s="548"/>
      <c r="H542" s="546">
        <v>178909</v>
      </c>
    </row>
    <row r="543" spans="1:9" s="404" customFormat="1">
      <c r="A543" s="2245"/>
      <c r="B543" s="2265"/>
      <c r="C543" s="2223" t="s">
        <v>780</v>
      </c>
      <c r="D543" s="2224"/>
      <c r="E543" s="2225"/>
      <c r="F543" s="579"/>
      <c r="G543" s="548"/>
      <c r="H543" s="546">
        <v>665935</v>
      </c>
    </row>
    <row r="544" spans="1:9" s="404" customFormat="1">
      <c r="A544" s="2245"/>
      <c r="B544" s="2265"/>
      <c r="C544" s="2223" t="s">
        <v>781</v>
      </c>
      <c r="D544" s="2224"/>
      <c r="E544" s="2225"/>
      <c r="F544" s="579"/>
      <c r="G544" s="548"/>
      <c r="H544" s="546">
        <v>463017</v>
      </c>
    </row>
    <row r="545" spans="1:9" s="404" customFormat="1">
      <c r="A545" s="2245"/>
      <c r="B545" s="2265"/>
      <c r="C545" s="2223" t="s">
        <v>782</v>
      </c>
      <c r="D545" s="2224"/>
      <c r="E545" s="2225"/>
      <c r="F545" s="579"/>
      <c r="G545" s="548"/>
      <c r="H545" s="546">
        <v>156906</v>
      </c>
    </row>
    <row r="546" spans="1:9" s="404" customFormat="1">
      <c r="A546" s="2245"/>
      <c r="B546" s="2265"/>
      <c r="C546" s="2223" t="s">
        <v>783</v>
      </c>
      <c r="D546" s="2224"/>
      <c r="E546" s="2225"/>
      <c r="F546" s="579">
        <v>1650</v>
      </c>
      <c r="G546" s="548"/>
      <c r="H546" s="601">
        <v>608749</v>
      </c>
      <c r="I546" s="607"/>
    </row>
    <row r="547" spans="1:9" s="404" customFormat="1">
      <c r="A547" s="2245"/>
      <c r="B547" s="2265"/>
      <c r="C547" s="2223" t="s">
        <v>1817</v>
      </c>
      <c r="D547" s="2224"/>
      <c r="E547" s="2225"/>
      <c r="F547" s="579" t="s">
        <v>784</v>
      </c>
      <c r="G547" s="548"/>
      <c r="H547" s="601">
        <v>181419984</v>
      </c>
      <c r="I547" s="607"/>
    </row>
    <row r="548" spans="1:9" s="404" customFormat="1">
      <c r="A548" s="2245"/>
      <c r="B548" s="2265"/>
      <c r="C548" s="2223" t="s">
        <v>1818</v>
      </c>
      <c r="D548" s="2224"/>
      <c r="E548" s="2225"/>
      <c r="F548" s="579" t="s">
        <v>644</v>
      </c>
      <c r="G548" s="548"/>
      <c r="H548" s="601">
        <v>1739595</v>
      </c>
      <c r="I548" s="607"/>
    </row>
    <row r="549" spans="1:9" s="404" customFormat="1">
      <c r="A549" s="2245"/>
      <c r="B549" s="2265"/>
      <c r="C549" s="2223" t="s">
        <v>785</v>
      </c>
      <c r="D549" s="2224"/>
      <c r="E549" s="2225"/>
      <c r="F549" s="579" t="s">
        <v>786</v>
      </c>
      <c r="G549" s="548"/>
      <c r="H549" s="602">
        <v>7112339</v>
      </c>
      <c r="I549" s="607"/>
    </row>
    <row r="550" spans="1:9" s="404" customFormat="1">
      <c r="A550" s="2245"/>
      <c r="B550" s="2265"/>
      <c r="C550" s="2223" t="s">
        <v>1819</v>
      </c>
      <c r="D550" s="2224"/>
      <c r="E550" s="2225"/>
      <c r="F550" s="579" t="s">
        <v>787</v>
      </c>
      <c r="G550" s="548"/>
      <c r="H550" s="602">
        <v>299033</v>
      </c>
      <c r="I550" s="607"/>
    </row>
    <row r="551" spans="1:9" s="404" customFormat="1">
      <c r="A551" s="2245"/>
      <c r="B551" s="2265"/>
      <c r="C551" s="2223" t="s">
        <v>1820</v>
      </c>
      <c r="D551" s="2224"/>
      <c r="E551" s="2225"/>
      <c r="F551" s="579" t="s">
        <v>788</v>
      </c>
      <c r="G551" s="548"/>
      <c r="H551" s="602">
        <v>299034</v>
      </c>
      <c r="I551" s="607"/>
    </row>
    <row r="552" spans="1:9" s="404" customFormat="1">
      <c r="A552" s="2245"/>
      <c r="B552" s="2265"/>
      <c r="C552" s="2223" t="s">
        <v>789</v>
      </c>
      <c r="D552" s="2224"/>
      <c r="E552" s="2225"/>
      <c r="F552" s="579"/>
      <c r="G552" s="548"/>
      <c r="H552" s="601">
        <v>413872</v>
      </c>
      <c r="I552" s="607"/>
    </row>
    <row r="553" spans="1:9" s="404" customFormat="1">
      <c r="A553" s="2245"/>
      <c r="B553" s="2265"/>
      <c r="C553" s="2223" t="s">
        <v>790</v>
      </c>
      <c r="D553" s="2224"/>
      <c r="E553" s="2225"/>
      <c r="F553" s="579"/>
      <c r="G553" s="548"/>
      <c r="H553" s="601">
        <v>293932</v>
      </c>
      <c r="I553" s="607"/>
    </row>
    <row r="554" spans="1:9" s="404" customFormat="1">
      <c r="A554" s="2245"/>
      <c r="B554" s="2265"/>
      <c r="C554" s="2223" t="s">
        <v>1821</v>
      </c>
      <c r="D554" s="2224"/>
      <c r="E554" s="2225"/>
      <c r="F554" s="579">
        <v>179</v>
      </c>
      <c r="G554" s="548"/>
      <c r="H554" s="601">
        <v>15458807</v>
      </c>
      <c r="I554" s="607"/>
    </row>
    <row r="555" spans="1:9" s="404" customFormat="1">
      <c r="A555" s="2245"/>
      <c r="B555" s="2265"/>
      <c r="C555" s="2223" t="s">
        <v>1822</v>
      </c>
      <c r="D555" s="2224"/>
      <c r="E555" s="2225"/>
      <c r="F555" s="579" t="s">
        <v>655</v>
      </c>
      <c r="G555" s="548"/>
      <c r="H555" s="601">
        <v>149464957</v>
      </c>
      <c r="I555" s="607"/>
    </row>
    <row r="556" spans="1:9" s="404" customFormat="1">
      <c r="A556" s="2245"/>
      <c r="B556" s="2265"/>
      <c r="C556" s="2223" t="s">
        <v>1823</v>
      </c>
      <c r="D556" s="2224"/>
      <c r="E556" s="2225"/>
      <c r="F556" s="579">
        <v>182</v>
      </c>
      <c r="G556" s="548"/>
      <c r="H556" s="601">
        <v>103316</v>
      </c>
      <c r="I556" s="607"/>
    </row>
    <row r="557" spans="1:9" s="404" customFormat="1">
      <c r="A557" s="2245"/>
      <c r="B557" s="2265"/>
      <c r="C557" s="2223" t="s">
        <v>1434</v>
      </c>
      <c r="D557" s="2224"/>
      <c r="E557" s="2225"/>
      <c r="F557" s="557" t="s">
        <v>706</v>
      </c>
      <c r="G557" s="548"/>
      <c r="H557" s="602">
        <v>14960166</v>
      </c>
      <c r="I557" s="607"/>
    </row>
    <row r="558" spans="1:9" s="404" customFormat="1">
      <c r="A558" s="2245"/>
      <c r="B558" s="2265"/>
      <c r="C558" s="2223" t="s">
        <v>792</v>
      </c>
      <c r="D558" s="2224"/>
      <c r="E558" s="2225"/>
      <c r="F558" s="579" t="s">
        <v>653</v>
      </c>
      <c r="G558" s="548"/>
      <c r="H558" s="601">
        <v>51120</v>
      </c>
      <c r="I558" s="607"/>
    </row>
    <row r="559" spans="1:9" s="404" customFormat="1">
      <c r="A559" s="2245"/>
      <c r="B559" s="2265"/>
      <c r="C559" s="2223" t="s">
        <v>1768</v>
      </c>
      <c r="D559" s="2224"/>
      <c r="E559" s="2225"/>
      <c r="F559" s="579" t="s">
        <v>655</v>
      </c>
      <c r="G559" s="548"/>
      <c r="H559" s="603">
        <v>77167</v>
      </c>
      <c r="I559" s="607"/>
    </row>
    <row r="560" spans="1:9" s="404" customFormat="1">
      <c r="A560" s="2245"/>
      <c r="B560" s="2265"/>
      <c r="C560" s="2223" t="s">
        <v>793</v>
      </c>
      <c r="D560" s="2224"/>
      <c r="E560" s="2225"/>
      <c r="F560" s="579">
        <v>179</v>
      </c>
      <c r="G560" s="548"/>
      <c r="H560" s="601">
        <v>32541</v>
      </c>
      <c r="I560" s="607"/>
    </row>
    <row r="561" spans="1:1025" s="404" customFormat="1">
      <c r="A561" s="2245"/>
      <c r="B561" s="2265"/>
      <c r="C561" s="2223" t="s">
        <v>794</v>
      </c>
      <c r="D561" s="2224"/>
      <c r="E561" s="2225"/>
      <c r="F561" s="579">
        <v>179</v>
      </c>
      <c r="G561" s="548"/>
      <c r="H561" s="601">
        <v>32541</v>
      </c>
      <c r="I561" s="607"/>
    </row>
    <row r="562" spans="1:1025" s="404" customFormat="1">
      <c r="A562" s="2245"/>
      <c r="B562" s="2265"/>
      <c r="C562" s="2223" t="s">
        <v>795</v>
      </c>
      <c r="D562" s="2224"/>
      <c r="E562" s="2225"/>
      <c r="F562" s="579">
        <v>179</v>
      </c>
      <c r="G562" s="548"/>
      <c r="H562" s="601">
        <v>21693</v>
      </c>
      <c r="I562" s="607"/>
    </row>
    <row r="563" spans="1:1025" s="404" customFormat="1">
      <c r="A563" s="2245"/>
      <c r="B563" s="2265"/>
      <c r="C563" s="2223" t="s">
        <v>796</v>
      </c>
      <c r="D563" s="2224"/>
      <c r="E563" s="2225"/>
      <c r="F563" s="579"/>
      <c r="G563" s="548" t="s">
        <v>1824</v>
      </c>
      <c r="H563" s="602">
        <v>434656</v>
      </c>
      <c r="I563" s="608"/>
    </row>
    <row r="564" spans="1:1025" s="404" customFormat="1">
      <c r="A564" s="2245"/>
      <c r="B564" s="2265"/>
      <c r="C564" s="2223" t="s">
        <v>797</v>
      </c>
      <c r="D564" s="2224"/>
      <c r="E564" s="2225"/>
      <c r="F564" s="579"/>
      <c r="G564" s="548"/>
      <c r="H564" s="601">
        <v>33662</v>
      </c>
      <c r="I564" s="608"/>
    </row>
    <row r="565" spans="1:1025" s="404" customFormat="1">
      <c r="A565" s="2245"/>
      <c r="B565" s="2265"/>
      <c r="C565" s="2223" t="s">
        <v>1769</v>
      </c>
      <c r="D565" s="2224"/>
      <c r="E565" s="2225"/>
      <c r="F565" s="579"/>
      <c r="G565" s="548"/>
      <c r="H565" s="603">
        <v>2561</v>
      </c>
      <c r="I565" s="608"/>
    </row>
    <row r="566" spans="1:1025" s="404" customFormat="1">
      <c r="A566" s="2245"/>
      <c r="B566" s="2265"/>
      <c r="C566" s="2223" t="s">
        <v>798</v>
      </c>
      <c r="D566" s="2224"/>
      <c r="E566" s="2225"/>
      <c r="F566" s="579"/>
      <c r="G566" s="548"/>
      <c r="H566" s="601">
        <v>932962</v>
      </c>
      <c r="I566" s="608"/>
    </row>
    <row r="567" spans="1:1025" s="404" customFormat="1">
      <c r="A567" s="2245"/>
      <c r="B567" s="2265"/>
      <c r="C567" s="2223" t="s">
        <v>799</v>
      </c>
      <c r="D567" s="2224"/>
      <c r="E567" s="2225"/>
      <c r="F567" s="579">
        <v>182</v>
      </c>
      <c r="G567" s="548"/>
      <c r="H567" s="601">
        <v>8894</v>
      </c>
      <c r="I567" s="607"/>
    </row>
    <row r="568" spans="1:1025">
      <c r="A568" s="2245"/>
      <c r="B568" s="2265"/>
      <c r="C568" s="2223" t="s">
        <v>1343</v>
      </c>
      <c r="D568" s="2224"/>
      <c r="E568" s="2225"/>
      <c r="F568" s="579"/>
      <c r="G568" s="548" t="s">
        <v>1344</v>
      </c>
      <c r="H568" s="601">
        <v>1001626</v>
      </c>
      <c r="I568" s="607"/>
      <c r="AMF568" s="1925"/>
      <c r="AMG568" s="1925"/>
      <c r="AMH568" s="1925"/>
      <c r="AMI568" s="1925"/>
      <c r="AMJ568" s="1925"/>
      <c r="AMK568" s="1925"/>
    </row>
    <row r="569" spans="1:1025">
      <c r="A569" s="2245"/>
      <c r="B569" s="2265"/>
      <c r="C569" s="2223" t="s">
        <v>1825</v>
      </c>
      <c r="D569" s="2224"/>
      <c r="E569" s="2225"/>
      <c r="F569" s="579"/>
      <c r="G569" s="548"/>
      <c r="H569" s="601">
        <v>334634291</v>
      </c>
      <c r="I569" s="607"/>
    </row>
    <row r="570" spans="1:1025">
      <c r="A570" s="2245"/>
      <c r="B570" s="2265"/>
      <c r="C570" s="2223" t="s">
        <v>1345</v>
      </c>
      <c r="D570" s="2224"/>
      <c r="E570" s="2225"/>
      <c r="F570" s="579">
        <v>346</v>
      </c>
      <c r="G570" s="548"/>
      <c r="H570" s="601">
        <v>586215</v>
      </c>
      <c r="I570" s="607"/>
    </row>
    <row r="571" spans="1:1025">
      <c r="A571" s="2245"/>
      <c r="B571" s="2265"/>
      <c r="C571" s="2223" t="s">
        <v>1346</v>
      </c>
      <c r="D571" s="2224"/>
      <c r="E571" s="2225"/>
      <c r="F571" s="579" t="s">
        <v>787</v>
      </c>
      <c r="G571" s="548"/>
      <c r="H571" s="602">
        <v>8520707</v>
      </c>
      <c r="I571" s="607"/>
    </row>
    <row r="572" spans="1:1025">
      <c r="A572" s="2245"/>
      <c r="B572" s="2265"/>
      <c r="C572" s="2223" t="s">
        <v>1347</v>
      </c>
      <c r="D572" s="2224"/>
      <c r="E572" s="2225"/>
      <c r="F572" s="579" t="s">
        <v>1348</v>
      </c>
      <c r="G572" s="548"/>
      <c r="H572" s="602">
        <v>672344</v>
      </c>
      <c r="I572" s="607"/>
    </row>
    <row r="573" spans="1:1025">
      <c r="A573" s="2245"/>
      <c r="B573" s="2265"/>
      <c r="C573" s="2223" t="s">
        <v>1938</v>
      </c>
      <c r="D573" s="2224"/>
      <c r="E573" s="2225"/>
      <c r="F573" s="579" t="s">
        <v>653</v>
      </c>
      <c r="G573" s="548"/>
      <c r="H573" s="602">
        <v>1750348</v>
      </c>
      <c r="I573" s="607"/>
    </row>
    <row r="574" spans="1:1025">
      <c r="A574" s="2245"/>
      <c r="B574" s="2265"/>
      <c r="C574" s="2223" t="s">
        <v>1349</v>
      </c>
      <c r="D574" s="2224"/>
      <c r="E574" s="2225"/>
      <c r="F574" s="579" t="s">
        <v>653</v>
      </c>
      <c r="G574" s="548"/>
      <c r="H574" s="602">
        <v>1486557</v>
      </c>
      <c r="I574" s="607"/>
    </row>
    <row r="575" spans="1:1025">
      <c r="A575" s="2245"/>
      <c r="B575" s="2265"/>
      <c r="C575" s="2223" t="s">
        <v>1891</v>
      </c>
      <c r="D575" s="2224"/>
      <c r="E575" s="2225"/>
      <c r="F575" s="557" t="s">
        <v>1432</v>
      </c>
      <c r="G575" s="545"/>
      <c r="H575" s="601">
        <v>9352056</v>
      </c>
      <c r="I575" s="607"/>
    </row>
    <row r="576" spans="1:1025">
      <c r="A576" s="2245"/>
      <c r="B576" s="2265"/>
      <c r="C576" s="2223" t="s">
        <v>1435</v>
      </c>
      <c r="D576" s="2224"/>
      <c r="E576" s="2225"/>
      <c r="F576" s="579" t="s">
        <v>675</v>
      </c>
      <c r="G576" s="548"/>
      <c r="H576" s="601">
        <v>1812045</v>
      </c>
      <c r="I576" s="607"/>
    </row>
    <row r="577" spans="1:9">
      <c r="A577" s="2245"/>
      <c r="B577" s="2265"/>
      <c r="C577" s="2223" t="s">
        <v>1436</v>
      </c>
      <c r="D577" s="2224"/>
      <c r="E577" s="2225"/>
      <c r="F577" s="579" t="s">
        <v>675</v>
      </c>
      <c r="G577" s="548"/>
      <c r="H577" s="601">
        <v>74983</v>
      </c>
      <c r="I577" s="607"/>
    </row>
    <row r="578" spans="1:9">
      <c r="A578" s="2245"/>
      <c r="B578" s="2265"/>
      <c r="C578" s="2223" t="s">
        <v>1437</v>
      </c>
      <c r="D578" s="2224"/>
      <c r="E578" s="2225"/>
      <c r="F578" s="579" t="s">
        <v>1426</v>
      </c>
      <c r="G578" s="548"/>
      <c r="H578" s="601">
        <v>5983159</v>
      </c>
      <c r="I578" s="607"/>
    </row>
    <row r="579" spans="1:9">
      <c r="A579" s="2245"/>
      <c r="B579" s="2265"/>
      <c r="C579" s="2223" t="s">
        <v>1438</v>
      </c>
      <c r="D579" s="2224"/>
      <c r="E579" s="2225"/>
      <c r="F579" s="579" t="s">
        <v>1428</v>
      </c>
      <c r="G579" s="548"/>
      <c r="H579" s="601">
        <v>17683085</v>
      </c>
      <c r="I579" s="607"/>
    </row>
    <row r="580" spans="1:9">
      <c r="A580" s="2245"/>
      <c r="B580" s="2265"/>
      <c r="C580" s="2223" t="s">
        <v>1439</v>
      </c>
      <c r="D580" s="2224"/>
      <c r="E580" s="2225"/>
      <c r="F580" s="579" t="s">
        <v>1430</v>
      </c>
      <c r="G580" s="548"/>
      <c r="H580" s="601">
        <v>101046676</v>
      </c>
      <c r="I580" s="607"/>
    </row>
    <row r="581" spans="1:9">
      <c r="A581" s="2245"/>
      <c r="B581" s="2265"/>
      <c r="C581" s="2223" t="s">
        <v>1440</v>
      </c>
      <c r="D581" s="2224"/>
      <c r="E581" s="2225"/>
      <c r="F581" s="579" t="s">
        <v>1412</v>
      </c>
      <c r="G581" s="548"/>
      <c r="H581" s="601">
        <v>9209592</v>
      </c>
      <c r="I581" s="607"/>
    </row>
    <row r="582" spans="1:9">
      <c r="A582" s="2245"/>
      <c r="B582" s="2265"/>
      <c r="C582" s="2223" t="s">
        <v>1441</v>
      </c>
      <c r="D582" s="2224"/>
      <c r="E582" s="2225"/>
      <c r="F582" s="579" t="s">
        <v>655</v>
      </c>
      <c r="G582" s="548"/>
      <c r="H582" s="602">
        <v>257085</v>
      </c>
      <c r="I582" s="607"/>
    </row>
    <row r="583" spans="1:9" s="404" customFormat="1">
      <c r="A583" s="2245"/>
      <c r="B583" s="2265"/>
      <c r="C583" s="2223" t="s">
        <v>1441</v>
      </c>
      <c r="D583" s="2224"/>
      <c r="E583" s="2225"/>
      <c r="F583" s="579" t="s">
        <v>655</v>
      </c>
      <c r="G583" s="548"/>
      <c r="H583" s="602">
        <v>257085</v>
      </c>
      <c r="I583" s="607"/>
    </row>
    <row r="584" spans="1:9" s="404" customFormat="1">
      <c r="A584" s="2245"/>
      <c r="B584" s="2265"/>
      <c r="C584" s="2223" t="s">
        <v>1442</v>
      </c>
      <c r="D584" s="2224"/>
      <c r="E584" s="2225"/>
      <c r="F584" s="579" t="s">
        <v>653</v>
      </c>
      <c r="G584" s="548"/>
      <c r="H584" s="602">
        <v>257084</v>
      </c>
      <c r="I584" s="607"/>
    </row>
    <row r="585" spans="1:9" s="404" customFormat="1">
      <c r="A585" s="2245"/>
      <c r="B585" s="2265"/>
      <c r="C585" s="2223" t="s">
        <v>1443</v>
      </c>
      <c r="D585" s="2224"/>
      <c r="E585" s="2225"/>
      <c r="F585" s="579" t="s">
        <v>655</v>
      </c>
      <c r="G585" s="548"/>
      <c r="H585" s="602">
        <v>622554</v>
      </c>
      <c r="I585" s="607"/>
    </row>
    <row r="586" spans="1:9" s="404" customFormat="1">
      <c r="A586" s="2245"/>
      <c r="B586" s="2265"/>
      <c r="C586" s="2223" t="s">
        <v>1444</v>
      </c>
      <c r="D586" s="2224"/>
      <c r="E586" s="2225"/>
      <c r="F586" s="579" t="s">
        <v>655</v>
      </c>
      <c r="G586" s="548"/>
      <c r="H586" s="602">
        <v>2035004</v>
      </c>
      <c r="I586" s="607"/>
    </row>
    <row r="587" spans="1:9" s="404" customFormat="1">
      <c r="A587" s="2245"/>
      <c r="B587" s="2265"/>
      <c r="C587" s="2223" t="s">
        <v>1445</v>
      </c>
      <c r="D587" s="2224"/>
      <c r="E587" s="2225"/>
      <c r="F587" s="579" t="s">
        <v>699</v>
      </c>
      <c r="G587" s="548"/>
      <c r="H587" s="602">
        <v>180788</v>
      </c>
      <c r="I587" s="607"/>
    </row>
    <row r="588" spans="1:9" s="404" customFormat="1">
      <c r="A588" s="2245"/>
      <c r="B588" s="2265"/>
      <c r="C588" s="2223" t="s">
        <v>1446</v>
      </c>
      <c r="D588" s="2224"/>
      <c r="E588" s="2225"/>
      <c r="F588" s="579" t="s">
        <v>567</v>
      </c>
      <c r="G588" s="548"/>
      <c r="H588" s="602">
        <v>167053</v>
      </c>
      <c r="I588" s="607"/>
    </row>
    <row r="589" spans="1:9" s="404" customFormat="1">
      <c r="A589" s="2245"/>
      <c r="B589" s="2265"/>
      <c r="C589" s="2223" t="s">
        <v>1447</v>
      </c>
      <c r="D589" s="2224"/>
      <c r="E589" s="2225"/>
      <c r="F589" s="579" t="s">
        <v>1151</v>
      </c>
      <c r="G589" s="548"/>
      <c r="H589" s="602">
        <v>75091</v>
      </c>
      <c r="I589" s="607"/>
    </row>
    <row r="590" spans="1:9" s="404" customFormat="1">
      <c r="A590" s="2245"/>
      <c r="B590" s="2265"/>
      <c r="C590" s="2223" t="s">
        <v>1448</v>
      </c>
      <c r="D590" s="2224"/>
      <c r="E590" s="2225"/>
      <c r="F590" s="579" t="s">
        <v>655</v>
      </c>
      <c r="G590" s="548"/>
      <c r="H590" s="602">
        <v>26868918</v>
      </c>
      <c r="I590" s="607"/>
    </row>
    <row r="591" spans="1:9" s="404" customFormat="1">
      <c r="A591" s="2245"/>
      <c r="B591" s="2265"/>
      <c r="C591" s="2223" t="s">
        <v>1449</v>
      </c>
      <c r="D591" s="2224"/>
      <c r="E591" s="2225"/>
      <c r="F591" s="579" t="s">
        <v>653</v>
      </c>
      <c r="G591" s="548"/>
      <c r="H591" s="602">
        <v>287616</v>
      </c>
      <c r="I591" s="607"/>
    </row>
    <row r="592" spans="1:9" s="404" customFormat="1">
      <c r="A592" s="2245"/>
      <c r="B592" s="2265"/>
      <c r="C592" s="2223" t="s">
        <v>1450</v>
      </c>
      <c r="D592" s="2224"/>
      <c r="E592" s="2225"/>
      <c r="F592" s="579" t="s">
        <v>791</v>
      </c>
      <c r="G592" s="548"/>
      <c r="H592" s="602">
        <v>96791095</v>
      </c>
      <c r="I592" s="607"/>
    </row>
    <row r="593" spans="1:9" s="404" customFormat="1">
      <c r="A593" s="2245"/>
      <c r="B593" s="2265"/>
      <c r="C593" s="2223" t="s">
        <v>1451</v>
      </c>
      <c r="D593" s="2224"/>
      <c r="E593" s="2225"/>
      <c r="F593" s="579"/>
      <c r="G593" s="548"/>
      <c r="H593" s="602">
        <v>10992210</v>
      </c>
      <c r="I593" s="607"/>
    </row>
    <row r="594" spans="1:9" s="404" customFormat="1">
      <c r="A594" s="2245"/>
      <c r="B594" s="2265"/>
      <c r="C594" s="2223" t="s">
        <v>1452</v>
      </c>
      <c r="D594" s="2224"/>
      <c r="E594" s="2225"/>
      <c r="F594" s="579">
        <v>814</v>
      </c>
      <c r="G594" s="548"/>
      <c r="H594" s="602">
        <v>32453754</v>
      </c>
      <c r="I594" s="607"/>
    </row>
    <row r="595" spans="1:9" s="404" customFormat="1">
      <c r="A595" s="2245"/>
      <c r="B595" s="2265"/>
      <c r="C595" s="2223" t="s">
        <v>1453</v>
      </c>
      <c r="D595" s="2224"/>
      <c r="E595" s="2225"/>
      <c r="F595" s="579" t="s">
        <v>586</v>
      </c>
      <c r="G595" s="548"/>
      <c r="H595" s="602">
        <v>4907588</v>
      </c>
      <c r="I595" s="607"/>
    </row>
    <row r="596" spans="1:9" s="404" customFormat="1">
      <c r="A596" s="2245"/>
      <c r="B596" s="2265"/>
      <c r="C596" s="2223" t="s">
        <v>1454</v>
      </c>
      <c r="D596" s="2224"/>
      <c r="E596" s="2225"/>
      <c r="F596" s="579" t="s">
        <v>1455</v>
      </c>
      <c r="G596" s="548"/>
      <c r="H596" s="602">
        <v>5078144</v>
      </c>
      <c r="I596" s="607"/>
    </row>
    <row r="597" spans="1:9" s="404" customFormat="1">
      <c r="A597" s="2245"/>
      <c r="B597" s="2265"/>
      <c r="C597" s="2223" t="s">
        <v>723</v>
      </c>
      <c r="D597" s="2224"/>
      <c r="E597" s="2225"/>
      <c r="F597" s="579"/>
      <c r="G597" s="548"/>
      <c r="H597" s="602">
        <v>500112</v>
      </c>
      <c r="I597" s="607"/>
    </row>
    <row r="598" spans="1:9" s="404" customFormat="1">
      <c r="A598" s="2245"/>
      <c r="B598" s="2265"/>
      <c r="C598" s="2223" t="s">
        <v>1456</v>
      </c>
      <c r="D598" s="2224"/>
      <c r="E598" s="2225"/>
      <c r="F598" s="579"/>
      <c r="G598" s="548"/>
      <c r="H598" s="602">
        <v>228912</v>
      </c>
      <c r="I598" s="607"/>
    </row>
    <row r="599" spans="1:9" s="404" customFormat="1">
      <c r="A599" s="2245"/>
      <c r="B599" s="2265"/>
      <c r="C599" s="2223" t="s">
        <v>717</v>
      </c>
      <c r="D599" s="2224"/>
      <c r="E599" s="2225"/>
      <c r="F599" s="579"/>
      <c r="G599" s="548"/>
      <c r="H599" s="602">
        <v>30993</v>
      </c>
      <c r="I599" s="607"/>
    </row>
    <row r="600" spans="1:9" s="404" customFormat="1">
      <c r="A600" s="2245"/>
      <c r="B600" s="2265"/>
      <c r="C600" s="2223" t="s">
        <v>1457</v>
      </c>
      <c r="D600" s="2224"/>
      <c r="E600" s="2225"/>
      <c r="F600" s="579" t="s">
        <v>904</v>
      </c>
      <c r="G600" s="548"/>
      <c r="H600" s="602">
        <v>176376</v>
      </c>
      <c r="I600" s="607"/>
    </row>
    <row r="601" spans="1:9" s="404" customFormat="1">
      <c r="A601" s="2245"/>
      <c r="B601" s="2265"/>
      <c r="C601" s="2223" t="s">
        <v>1458</v>
      </c>
      <c r="D601" s="2224"/>
      <c r="E601" s="2225"/>
      <c r="F601" s="579" t="s">
        <v>734</v>
      </c>
      <c r="G601" s="548"/>
      <c r="H601" s="602">
        <v>70681</v>
      </c>
      <c r="I601" s="607"/>
    </row>
    <row r="602" spans="1:9" s="404" customFormat="1">
      <c r="A602" s="2245"/>
      <c r="B602" s="2265"/>
      <c r="C602" s="2223" t="s">
        <v>713</v>
      </c>
      <c r="D602" s="2224"/>
      <c r="E602" s="2225"/>
      <c r="F602" s="579"/>
      <c r="G602" s="548"/>
      <c r="H602" s="602">
        <v>9792393</v>
      </c>
      <c r="I602" s="607"/>
    </row>
    <row r="603" spans="1:9" s="404" customFormat="1">
      <c r="A603" s="2245"/>
      <c r="B603" s="2265"/>
      <c r="C603" s="2223" t="s">
        <v>733</v>
      </c>
      <c r="D603" s="2224"/>
      <c r="E603" s="2225"/>
      <c r="F603" s="579">
        <v>94</v>
      </c>
      <c r="G603" s="548"/>
      <c r="H603" s="602">
        <v>185999</v>
      </c>
      <c r="I603" s="607"/>
    </row>
    <row r="604" spans="1:9" s="404" customFormat="1">
      <c r="A604" s="2245"/>
      <c r="B604" s="2265"/>
      <c r="C604" s="2223" t="s">
        <v>1459</v>
      </c>
      <c r="D604" s="2224"/>
      <c r="E604" s="2225"/>
      <c r="F604" s="579" t="s">
        <v>768</v>
      </c>
      <c r="G604" s="548"/>
      <c r="H604" s="602">
        <v>197999</v>
      </c>
      <c r="I604" s="607"/>
    </row>
    <row r="605" spans="1:9" s="404" customFormat="1">
      <c r="A605" s="2245"/>
      <c r="B605" s="2265"/>
      <c r="C605" s="2223" t="s">
        <v>1460</v>
      </c>
      <c r="D605" s="2224"/>
      <c r="E605" s="2225"/>
      <c r="F605" s="579"/>
      <c r="G605" s="548"/>
      <c r="H605" s="602">
        <v>168395</v>
      </c>
      <c r="I605" s="607"/>
    </row>
    <row r="606" spans="1:9" s="404" customFormat="1">
      <c r="A606" s="2245"/>
      <c r="B606" s="2265"/>
      <c r="C606" s="2223" t="s">
        <v>1461</v>
      </c>
      <c r="D606" s="2224"/>
      <c r="E606" s="2225"/>
      <c r="F606" s="579"/>
      <c r="G606" s="548"/>
      <c r="H606" s="602">
        <v>40637</v>
      </c>
      <c r="I606" s="607"/>
    </row>
    <row r="607" spans="1:9" s="404" customFormat="1">
      <c r="A607" s="2245"/>
      <c r="B607" s="2265"/>
      <c r="C607" s="2223" t="s">
        <v>1462</v>
      </c>
      <c r="D607" s="2224"/>
      <c r="E607" s="2225"/>
      <c r="F607" s="579"/>
      <c r="G607" s="548"/>
      <c r="H607" s="602">
        <v>141238</v>
      </c>
      <c r="I607" s="607"/>
    </row>
    <row r="608" spans="1:9" s="404" customFormat="1">
      <c r="A608" s="2245"/>
      <c r="B608" s="2265"/>
      <c r="C608" s="2223" t="s">
        <v>711</v>
      </c>
      <c r="D608" s="2224"/>
      <c r="E608" s="2225"/>
      <c r="F608" s="579"/>
      <c r="G608" s="548"/>
      <c r="H608" s="602">
        <v>151507</v>
      </c>
      <c r="I608" s="607"/>
    </row>
    <row r="609" spans="1:9" s="404" customFormat="1">
      <c r="A609" s="2245"/>
      <c r="B609" s="2265"/>
      <c r="C609" s="2223" t="s">
        <v>1463</v>
      </c>
      <c r="D609" s="2224"/>
      <c r="E609" s="2225"/>
      <c r="F609" s="579"/>
      <c r="G609" s="548"/>
      <c r="H609" s="602">
        <v>2071786</v>
      </c>
      <c r="I609" s="607"/>
    </row>
    <row r="610" spans="1:9" s="404" customFormat="1">
      <c r="A610" s="2245"/>
      <c r="B610" s="2265"/>
      <c r="C610" s="2223" t="s">
        <v>1464</v>
      </c>
      <c r="D610" s="2224"/>
      <c r="E610" s="2225"/>
      <c r="F610" s="579"/>
      <c r="G610" s="548"/>
      <c r="H610" s="602">
        <v>1737767</v>
      </c>
      <c r="I610" s="607"/>
    </row>
    <row r="611" spans="1:9" s="404" customFormat="1">
      <c r="A611" s="2245"/>
      <c r="B611" s="2265"/>
      <c r="C611" s="2223" t="s">
        <v>1904</v>
      </c>
      <c r="D611" s="2224"/>
      <c r="E611" s="2225"/>
      <c r="F611" s="579" t="s">
        <v>756</v>
      </c>
      <c r="G611" s="548"/>
      <c r="H611" s="602">
        <v>20163</v>
      </c>
      <c r="I611" s="607"/>
    </row>
    <row r="612" spans="1:9" s="404" customFormat="1">
      <c r="A612" s="2245"/>
      <c r="B612" s="2265"/>
      <c r="C612" s="2223" t="s">
        <v>751</v>
      </c>
      <c r="D612" s="2224"/>
      <c r="E612" s="2225"/>
      <c r="F612" s="579" t="s">
        <v>565</v>
      </c>
      <c r="G612" s="548"/>
      <c r="H612" s="602">
        <v>1049</v>
      </c>
      <c r="I612" s="607"/>
    </row>
    <row r="613" spans="1:9" s="404" customFormat="1">
      <c r="A613" s="2245"/>
      <c r="B613" s="2265"/>
      <c r="C613" s="2223" t="s">
        <v>1734</v>
      </c>
      <c r="D613" s="2224"/>
      <c r="E613" s="2225"/>
      <c r="F613" s="579">
        <v>367</v>
      </c>
      <c r="G613" s="548"/>
      <c r="H613" s="602">
        <v>10911</v>
      </c>
      <c r="I613" s="607"/>
    </row>
    <row r="614" spans="1:9" s="404" customFormat="1">
      <c r="A614" s="2245"/>
      <c r="B614" s="2265"/>
      <c r="C614" s="2223" t="s">
        <v>749</v>
      </c>
      <c r="D614" s="2224"/>
      <c r="E614" s="2225"/>
      <c r="F614" s="579" t="s">
        <v>750</v>
      </c>
      <c r="G614" s="548"/>
      <c r="H614" s="602">
        <v>45797</v>
      </c>
      <c r="I614" s="607"/>
    </row>
    <row r="615" spans="1:9" s="404" customFormat="1">
      <c r="A615" s="2245"/>
      <c r="B615" s="2265"/>
      <c r="C615" s="2223" t="s">
        <v>1465</v>
      </c>
      <c r="D615" s="2224"/>
      <c r="E615" s="2225"/>
      <c r="F615" s="579">
        <v>367</v>
      </c>
      <c r="G615" s="548"/>
      <c r="H615" s="602">
        <v>118361</v>
      </c>
      <c r="I615" s="607"/>
    </row>
    <row r="616" spans="1:9" s="404" customFormat="1">
      <c r="A616" s="2245"/>
      <c r="B616" s="2265"/>
      <c r="C616" s="2223" t="s">
        <v>738</v>
      </c>
      <c r="D616" s="2224"/>
      <c r="E616" s="2225"/>
      <c r="F616" s="579">
        <v>379</v>
      </c>
      <c r="G616" s="548"/>
      <c r="H616" s="602">
        <v>3332</v>
      </c>
      <c r="I616" s="607"/>
    </row>
    <row r="617" spans="1:9" s="404" customFormat="1">
      <c r="A617" s="2245"/>
      <c r="B617" s="2265"/>
      <c r="C617" s="2223" t="s">
        <v>1505</v>
      </c>
      <c r="D617" s="2224"/>
      <c r="E617" s="2225"/>
      <c r="F617" s="579"/>
      <c r="G617" s="548"/>
      <c r="H617" s="602">
        <v>663530</v>
      </c>
      <c r="I617" s="607"/>
    </row>
    <row r="618" spans="1:9" s="404" customFormat="1">
      <c r="A618" s="2245"/>
      <c r="B618" s="2265"/>
      <c r="C618" s="2223" t="s">
        <v>1506</v>
      </c>
      <c r="D618" s="2224"/>
      <c r="E618" s="2225"/>
      <c r="F618" s="579"/>
      <c r="G618" s="548"/>
      <c r="H618" s="602">
        <v>4309109</v>
      </c>
      <c r="I618" s="607"/>
    </row>
    <row r="619" spans="1:9" s="404" customFormat="1">
      <c r="A619" s="2245"/>
      <c r="B619" s="2265"/>
      <c r="C619" s="2223" t="s">
        <v>1507</v>
      </c>
      <c r="D619" s="2224"/>
      <c r="E619" s="2225"/>
      <c r="F619" s="579"/>
      <c r="G619" s="548"/>
      <c r="H619" s="602">
        <v>619989</v>
      </c>
      <c r="I619" s="607"/>
    </row>
    <row r="620" spans="1:9" s="404" customFormat="1">
      <c r="A620" s="2245"/>
      <c r="B620" s="2265"/>
      <c r="C620" s="2223" t="s">
        <v>1508</v>
      </c>
      <c r="D620" s="2224"/>
      <c r="E620" s="2225"/>
      <c r="F620" s="579"/>
      <c r="G620" s="548"/>
      <c r="H620" s="602">
        <v>946483</v>
      </c>
      <c r="I620" s="607"/>
    </row>
    <row r="621" spans="1:9" s="404" customFormat="1">
      <c r="A621" s="2245"/>
      <c r="B621" s="2265"/>
      <c r="C621" s="2223" t="s">
        <v>1509</v>
      </c>
      <c r="D621" s="2224"/>
      <c r="E621" s="2225"/>
      <c r="F621" s="579"/>
      <c r="G621" s="548"/>
      <c r="H621" s="602">
        <v>693752</v>
      </c>
      <c r="I621" s="607"/>
    </row>
    <row r="622" spans="1:9" s="404" customFormat="1">
      <c r="A622" s="2245"/>
      <c r="B622" s="2265"/>
      <c r="C622" s="2223" t="s">
        <v>1510</v>
      </c>
      <c r="D622" s="2224"/>
      <c r="E622" s="2225"/>
      <c r="F622" s="579">
        <v>1307</v>
      </c>
      <c r="G622" s="548"/>
      <c r="H622" s="602">
        <v>1787037</v>
      </c>
      <c r="I622" s="607"/>
    </row>
    <row r="623" spans="1:9" s="404" customFormat="1">
      <c r="A623" s="2245"/>
      <c r="B623" s="2265"/>
      <c r="C623" s="2223" t="s">
        <v>1511</v>
      </c>
      <c r="D623" s="2224"/>
      <c r="E623" s="2225"/>
      <c r="F623" s="579" t="s">
        <v>557</v>
      </c>
      <c r="G623" s="548"/>
      <c r="H623" s="602">
        <v>1765708</v>
      </c>
      <c r="I623" s="607"/>
    </row>
    <row r="624" spans="1:9" s="404" customFormat="1">
      <c r="A624" s="2245"/>
      <c r="B624" s="2265"/>
      <c r="C624" s="2223" t="s">
        <v>1512</v>
      </c>
      <c r="D624" s="2224"/>
      <c r="E624" s="2225"/>
      <c r="F624" s="579">
        <v>94</v>
      </c>
      <c r="G624" s="548"/>
      <c r="H624" s="602">
        <v>2012321</v>
      </c>
      <c r="I624" s="607"/>
    </row>
    <row r="625" spans="1:9" s="404" customFormat="1">
      <c r="A625" s="2245"/>
      <c r="B625" s="2265"/>
      <c r="C625" s="2223" t="s">
        <v>1513</v>
      </c>
      <c r="D625" s="2224"/>
      <c r="E625" s="2225"/>
      <c r="F625" s="579" t="s">
        <v>655</v>
      </c>
      <c r="G625" s="548"/>
      <c r="H625" s="602">
        <v>651607</v>
      </c>
      <c r="I625" s="607"/>
    </row>
    <row r="626" spans="1:9" s="404" customFormat="1">
      <c r="A626" s="2245"/>
      <c r="B626" s="2265"/>
      <c r="C626" s="2223" t="s">
        <v>1514</v>
      </c>
      <c r="D626" s="2224"/>
      <c r="E626" s="2225"/>
      <c r="F626" s="579" t="s">
        <v>706</v>
      </c>
      <c r="G626" s="548"/>
      <c r="H626" s="602">
        <v>13290916</v>
      </c>
      <c r="I626" s="607"/>
    </row>
    <row r="627" spans="1:9" s="404" customFormat="1">
      <c r="A627" s="2245"/>
      <c r="B627" s="2265"/>
      <c r="C627" s="2247" t="s">
        <v>1826</v>
      </c>
      <c r="D627" s="2248"/>
      <c r="E627" s="2249"/>
      <c r="F627" s="579">
        <v>380</v>
      </c>
      <c r="G627" s="579" t="s">
        <v>1515</v>
      </c>
      <c r="H627" s="603">
        <v>72824901</v>
      </c>
      <c r="I627" s="606"/>
    </row>
    <row r="628" spans="1:9" s="404" customFormat="1">
      <c r="A628" s="2245"/>
      <c r="B628" s="2265"/>
      <c r="C628" s="2223" t="s">
        <v>1516</v>
      </c>
      <c r="D628" s="2224"/>
      <c r="E628" s="2225"/>
      <c r="F628" s="579" t="s">
        <v>586</v>
      </c>
      <c r="G628" s="548"/>
      <c r="H628" s="602">
        <v>59999</v>
      </c>
      <c r="I628" s="607"/>
    </row>
    <row r="629" spans="1:9" s="404" customFormat="1">
      <c r="A629" s="2245"/>
      <c r="B629" s="2265"/>
      <c r="C629" s="2223" t="s">
        <v>1517</v>
      </c>
      <c r="D629" s="2224"/>
      <c r="E629" s="2225"/>
      <c r="F629" s="579" t="s">
        <v>586</v>
      </c>
      <c r="G629" s="548"/>
      <c r="H629" s="602">
        <v>127999</v>
      </c>
      <c r="I629" s="607"/>
    </row>
    <row r="630" spans="1:9" s="404" customFormat="1">
      <c r="A630" s="2245"/>
      <c r="B630" s="2265"/>
      <c r="C630" s="2223" t="s">
        <v>1524</v>
      </c>
      <c r="D630" s="2224"/>
      <c r="E630" s="2225"/>
      <c r="F630" s="579" t="s">
        <v>1525</v>
      </c>
      <c r="G630" s="548"/>
      <c r="H630" s="602">
        <v>382577</v>
      </c>
      <c r="I630" s="607"/>
    </row>
    <row r="631" spans="1:9" s="404" customFormat="1">
      <c r="A631" s="2245"/>
      <c r="B631" s="2265"/>
      <c r="C631" s="2223" t="s">
        <v>1526</v>
      </c>
      <c r="D631" s="2224"/>
      <c r="E631" s="2225"/>
      <c r="F631" s="579" t="s">
        <v>1525</v>
      </c>
      <c r="G631" s="548"/>
      <c r="H631" s="602">
        <v>33643178</v>
      </c>
      <c r="I631" s="607"/>
    </row>
    <row r="632" spans="1:9" s="404" customFormat="1">
      <c r="A632" s="2245"/>
      <c r="B632" s="2265"/>
      <c r="C632" s="2223" t="s">
        <v>1527</v>
      </c>
      <c r="D632" s="2224"/>
      <c r="E632" s="2225"/>
      <c r="F632" s="579" t="s">
        <v>553</v>
      </c>
      <c r="G632" s="548"/>
      <c r="H632" s="602">
        <v>9705840</v>
      </c>
      <c r="I632" s="607"/>
    </row>
    <row r="633" spans="1:9" s="404" customFormat="1">
      <c r="A633" s="2245"/>
      <c r="B633" s="2265"/>
      <c r="C633" s="2223" t="s">
        <v>1528</v>
      </c>
      <c r="D633" s="2224"/>
      <c r="E633" s="2225"/>
      <c r="F633" s="579" t="s">
        <v>1042</v>
      </c>
      <c r="G633" s="548"/>
      <c r="H633" s="602">
        <v>15818614</v>
      </c>
      <c r="I633" s="607"/>
    </row>
    <row r="634" spans="1:9" s="404" customFormat="1">
      <c r="A634" s="2245"/>
      <c r="B634" s="2265"/>
      <c r="C634" s="2223" t="s">
        <v>1529</v>
      </c>
      <c r="D634" s="2224"/>
      <c r="E634" s="2225"/>
      <c r="F634" s="579" t="s">
        <v>934</v>
      </c>
      <c r="G634" s="548"/>
      <c r="H634" s="602">
        <v>1767112</v>
      </c>
      <c r="I634" s="607"/>
    </row>
    <row r="635" spans="1:9" s="404" customFormat="1">
      <c r="A635" s="2245"/>
      <c r="B635" s="2265"/>
      <c r="C635" s="2223" t="s">
        <v>1827</v>
      </c>
      <c r="D635" s="2224"/>
      <c r="E635" s="2225"/>
      <c r="F635" s="579"/>
      <c r="G635" s="548"/>
      <c r="H635" s="602">
        <v>825710</v>
      </c>
      <c r="I635" s="607"/>
    </row>
    <row r="636" spans="1:9" s="404" customFormat="1">
      <c r="A636" s="2245"/>
      <c r="B636" s="2265"/>
      <c r="C636" s="2223" t="s">
        <v>1620</v>
      </c>
      <c r="D636" s="2224"/>
      <c r="E636" s="2225"/>
      <c r="F636" s="579">
        <v>792</v>
      </c>
      <c r="G636" s="548"/>
      <c r="H636" s="602">
        <v>9616394</v>
      </c>
      <c r="I636" s="607"/>
    </row>
    <row r="637" spans="1:9" s="404" customFormat="1">
      <c r="A637" s="2245"/>
      <c r="B637" s="2265"/>
      <c r="C637" s="2223" t="s">
        <v>1620</v>
      </c>
      <c r="D637" s="2224"/>
      <c r="E637" s="2225"/>
      <c r="F637" s="579" t="s">
        <v>1767</v>
      </c>
      <c r="G637" s="548"/>
      <c r="H637" s="602">
        <v>8595694</v>
      </c>
      <c r="I637" s="607"/>
    </row>
    <row r="638" spans="1:9" s="404" customFormat="1">
      <c r="A638" s="2245"/>
      <c r="B638" s="2265"/>
      <c r="C638" s="2223" t="s">
        <v>1829</v>
      </c>
      <c r="D638" s="2224"/>
      <c r="E638" s="2225"/>
      <c r="F638" s="579"/>
      <c r="G638" s="548"/>
      <c r="H638" s="602">
        <v>1936672</v>
      </c>
      <c r="I638" s="607"/>
    </row>
    <row r="639" spans="1:9" s="404" customFormat="1">
      <c r="A639" s="2245"/>
      <c r="B639" s="2265"/>
      <c r="C639" s="2223" t="s">
        <v>1770</v>
      </c>
      <c r="D639" s="2224"/>
      <c r="E639" s="2225"/>
      <c r="F639" s="579" t="s">
        <v>1828</v>
      </c>
      <c r="G639" s="548"/>
      <c r="H639" s="602">
        <v>227772662</v>
      </c>
      <c r="I639" s="607"/>
    </row>
    <row r="640" spans="1:9" s="404" customFormat="1">
      <c r="A640" s="2245"/>
      <c r="B640" s="2265"/>
      <c r="C640" s="2223" t="s">
        <v>1771</v>
      </c>
      <c r="D640" s="2224"/>
      <c r="E640" s="2225"/>
      <c r="F640" s="579"/>
      <c r="G640" s="548"/>
      <c r="H640" s="602">
        <v>5302189</v>
      </c>
      <c r="I640" s="607"/>
    </row>
    <row r="641" spans="1:9" s="404" customFormat="1">
      <c r="A641" s="2245"/>
      <c r="B641" s="2265"/>
      <c r="C641" s="2223" t="s">
        <v>1772</v>
      </c>
      <c r="D641" s="2224"/>
      <c r="E641" s="2225"/>
      <c r="F641" s="579"/>
      <c r="G641" s="548"/>
      <c r="H641" s="602">
        <v>9489168</v>
      </c>
      <c r="I641" s="607"/>
    </row>
    <row r="642" spans="1:9" s="404" customFormat="1">
      <c r="A642" s="2245"/>
      <c r="B642" s="2265"/>
      <c r="C642" s="2223" t="s">
        <v>1773</v>
      </c>
      <c r="D642" s="2224"/>
      <c r="E642" s="2225"/>
      <c r="F642" s="579"/>
      <c r="G642" s="548"/>
      <c r="H642" s="602">
        <v>511128</v>
      </c>
      <c r="I642" s="607"/>
    </row>
    <row r="643" spans="1:9" s="404" customFormat="1">
      <c r="A643" s="2245"/>
      <c r="B643" s="2265"/>
      <c r="C643" s="2223" t="s">
        <v>1774</v>
      </c>
      <c r="D643" s="2224"/>
      <c r="E643" s="2225"/>
      <c r="F643" s="579">
        <v>367</v>
      </c>
      <c r="G643" s="548"/>
      <c r="H643" s="602">
        <v>238131</v>
      </c>
      <c r="I643" s="607"/>
    </row>
    <row r="644" spans="1:9" s="404" customFormat="1">
      <c r="A644" s="2245"/>
      <c r="B644" s="2265"/>
      <c r="C644" s="2223" t="s">
        <v>1775</v>
      </c>
      <c r="D644" s="2224"/>
      <c r="E644" s="2225"/>
      <c r="F644" s="579"/>
      <c r="G644" s="548"/>
      <c r="H644" s="602">
        <v>83858492</v>
      </c>
      <c r="I644" s="607"/>
    </row>
    <row r="645" spans="1:9" s="404" customFormat="1">
      <c r="A645" s="2245"/>
      <c r="B645" s="2265"/>
      <c r="C645" s="2223" t="s">
        <v>1776</v>
      </c>
      <c r="D645" s="2224"/>
      <c r="E645" s="2225"/>
      <c r="F645" s="579"/>
      <c r="G645" s="548"/>
      <c r="H645" s="602">
        <v>15229976</v>
      </c>
      <c r="I645" s="607"/>
    </row>
    <row r="646" spans="1:9" s="404" customFormat="1">
      <c r="A646" s="2245"/>
      <c r="B646" s="2265"/>
      <c r="C646" s="2223" t="s">
        <v>1777</v>
      </c>
      <c r="D646" s="2224"/>
      <c r="E646" s="2225"/>
      <c r="F646" s="579">
        <v>346</v>
      </c>
      <c r="G646" s="548"/>
      <c r="H646" s="602">
        <v>27021665</v>
      </c>
      <c r="I646" s="607"/>
    </row>
    <row r="647" spans="1:9" s="404" customFormat="1">
      <c r="A647" s="2245"/>
      <c r="B647" s="2265"/>
      <c r="C647" s="2223" t="s">
        <v>1778</v>
      </c>
      <c r="D647" s="2224"/>
      <c r="E647" s="2225"/>
      <c r="F647" s="579"/>
      <c r="G647" s="548"/>
      <c r="H647" s="602">
        <v>633486</v>
      </c>
      <c r="I647" s="607"/>
    </row>
    <row r="648" spans="1:9" s="404" customFormat="1">
      <c r="A648" s="2245"/>
      <c r="B648" s="2265"/>
      <c r="C648" s="2223" t="s">
        <v>1779</v>
      </c>
      <c r="D648" s="2224"/>
      <c r="E648" s="2225"/>
      <c r="F648" s="579" t="s">
        <v>750</v>
      </c>
      <c r="G648" s="548"/>
      <c r="H648" s="602">
        <v>387384</v>
      </c>
      <c r="I648" s="607"/>
    </row>
    <row r="649" spans="1:9" s="404" customFormat="1">
      <c r="A649" s="2245"/>
      <c r="B649" s="2265"/>
      <c r="C649" s="2223" t="s">
        <v>1780</v>
      </c>
      <c r="D649" s="2224"/>
      <c r="E649" s="2225"/>
      <c r="F649" s="579"/>
      <c r="G649" s="548"/>
      <c r="H649" s="602">
        <v>1832265</v>
      </c>
      <c r="I649" s="607"/>
    </row>
    <row r="650" spans="1:9" s="404" customFormat="1">
      <c r="A650" s="2245"/>
      <c r="B650" s="2265"/>
      <c r="C650" s="2223" t="s">
        <v>1781</v>
      </c>
      <c r="D650" s="2224"/>
      <c r="E650" s="2225"/>
      <c r="F650" s="579" t="s">
        <v>750</v>
      </c>
      <c r="G650" s="548"/>
      <c r="H650" s="602">
        <v>234754</v>
      </c>
      <c r="I650" s="607"/>
    </row>
    <row r="651" spans="1:9" s="404" customFormat="1">
      <c r="A651" s="2245"/>
      <c r="B651" s="2265"/>
      <c r="C651" s="2223" t="s">
        <v>1782</v>
      </c>
      <c r="D651" s="2224"/>
      <c r="E651" s="2225"/>
      <c r="F651" s="579" t="s">
        <v>750</v>
      </c>
      <c r="G651" s="548"/>
      <c r="H651" s="602">
        <v>195493</v>
      </c>
      <c r="I651" s="607"/>
    </row>
    <row r="652" spans="1:9" s="404" customFormat="1">
      <c r="A652" s="2245"/>
      <c r="B652" s="2265"/>
      <c r="C652" s="2223" t="s">
        <v>1783</v>
      </c>
      <c r="D652" s="2224"/>
      <c r="E652" s="2225"/>
      <c r="F652" s="579" t="s">
        <v>750</v>
      </c>
      <c r="G652" s="548"/>
      <c r="H652" s="602">
        <v>6946935</v>
      </c>
      <c r="I652" s="607"/>
    </row>
    <row r="653" spans="1:9" s="404" customFormat="1">
      <c r="A653" s="2245"/>
      <c r="B653" s="2265"/>
      <c r="C653" s="2223" t="s">
        <v>1784</v>
      </c>
      <c r="D653" s="2224"/>
      <c r="E653" s="2225"/>
      <c r="F653" s="579" t="s">
        <v>750</v>
      </c>
      <c r="G653" s="548"/>
      <c r="H653" s="602">
        <v>234754</v>
      </c>
      <c r="I653" s="607"/>
    </row>
    <row r="654" spans="1:9" s="404" customFormat="1">
      <c r="A654" s="2245"/>
      <c r="B654" s="2265"/>
      <c r="C654" s="2223" t="s">
        <v>1785</v>
      </c>
      <c r="D654" s="2224"/>
      <c r="E654" s="2225"/>
      <c r="F654" s="579"/>
      <c r="G654" s="548"/>
      <c r="H654" s="602">
        <v>56075706</v>
      </c>
      <c r="I654" s="607"/>
    </row>
    <row r="655" spans="1:9" s="404" customFormat="1">
      <c r="A655" s="2245"/>
      <c r="B655" s="2265"/>
      <c r="C655" s="2223" t="s">
        <v>1607</v>
      </c>
      <c r="D655" s="2224"/>
      <c r="E655" s="2225"/>
      <c r="F655" s="579" t="s">
        <v>750</v>
      </c>
      <c r="G655" s="548"/>
      <c r="H655" s="602">
        <v>123719842</v>
      </c>
      <c r="I655" s="607"/>
    </row>
    <row r="656" spans="1:9" s="404" customFormat="1">
      <c r="A656" s="2245"/>
      <c r="B656" s="2265"/>
      <c r="C656" s="2223" t="s">
        <v>1786</v>
      </c>
      <c r="D656" s="2224"/>
      <c r="E656" s="2225"/>
      <c r="F656" s="579"/>
      <c r="G656" s="548"/>
      <c r="H656" s="602">
        <v>2327577</v>
      </c>
      <c r="I656" s="607"/>
    </row>
    <row r="657" spans="1:9" s="404" customFormat="1">
      <c r="A657" s="2245"/>
      <c r="B657" s="2265"/>
      <c r="C657" s="2223" t="s">
        <v>1787</v>
      </c>
      <c r="D657" s="2224"/>
      <c r="E657" s="2225"/>
      <c r="F657" s="579"/>
      <c r="G657" s="548"/>
      <c r="H657" s="602">
        <v>8905946</v>
      </c>
      <c r="I657" s="607"/>
    </row>
    <row r="658" spans="1:9" s="404" customFormat="1">
      <c r="A658" s="2245"/>
      <c r="B658" s="2265"/>
      <c r="C658" s="2223" t="s">
        <v>1788</v>
      </c>
      <c r="D658" s="2224"/>
      <c r="E658" s="2225"/>
      <c r="F658" s="579" t="s">
        <v>1795</v>
      </c>
      <c r="G658" s="548"/>
      <c r="H658" s="602">
        <v>10879135</v>
      </c>
      <c r="I658" s="607"/>
    </row>
    <row r="659" spans="1:9" s="404" customFormat="1">
      <c r="A659" s="2245"/>
      <c r="B659" s="2265"/>
      <c r="C659" s="2223" t="s">
        <v>1789</v>
      </c>
      <c r="D659" s="2224"/>
      <c r="E659" s="2225"/>
      <c r="F659" s="579" t="s">
        <v>1796</v>
      </c>
      <c r="G659" s="548"/>
      <c r="H659" s="602">
        <v>8241761</v>
      </c>
      <c r="I659" s="607"/>
    </row>
    <row r="660" spans="1:9" s="404" customFormat="1">
      <c r="A660" s="2245"/>
      <c r="B660" s="2265"/>
      <c r="C660" s="2223" t="s">
        <v>1788</v>
      </c>
      <c r="D660" s="2224"/>
      <c r="E660" s="2225"/>
      <c r="F660" s="579" t="s">
        <v>1797</v>
      </c>
      <c r="G660" s="548"/>
      <c r="H660" s="602">
        <v>23076929</v>
      </c>
      <c r="I660" s="607"/>
    </row>
    <row r="661" spans="1:9" s="404" customFormat="1">
      <c r="A661" s="2245"/>
      <c r="B661" s="2265"/>
      <c r="C661" s="2223" t="s">
        <v>1790</v>
      </c>
      <c r="D661" s="2224"/>
      <c r="E661" s="2225"/>
      <c r="F661" s="579" t="s">
        <v>1798</v>
      </c>
      <c r="G661" s="548"/>
      <c r="H661" s="602">
        <v>9890113</v>
      </c>
      <c r="I661" s="607"/>
    </row>
    <row r="662" spans="1:9" s="404" customFormat="1">
      <c r="A662" s="2245"/>
      <c r="B662" s="2265"/>
      <c r="C662" s="2223" t="s">
        <v>1791</v>
      </c>
      <c r="D662" s="2224"/>
      <c r="E662" s="2225"/>
      <c r="F662" s="579" t="s">
        <v>1799</v>
      </c>
      <c r="G662" s="548"/>
      <c r="H662" s="602">
        <v>14175829</v>
      </c>
      <c r="I662" s="607"/>
    </row>
    <row r="663" spans="1:9" s="404" customFormat="1">
      <c r="A663" s="2245"/>
      <c r="B663" s="2265"/>
      <c r="C663" s="2223" t="s">
        <v>1792</v>
      </c>
      <c r="D663" s="2224"/>
      <c r="E663" s="2225"/>
      <c r="F663" s="579" t="s">
        <v>1800</v>
      </c>
      <c r="G663" s="548"/>
      <c r="H663" s="602">
        <v>11208794</v>
      </c>
      <c r="I663" s="607"/>
    </row>
    <row r="664" spans="1:9" s="404" customFormat="1">
      <c r="A664" s="2245"/>
      <c r="B664" s="2265"/>
      <c r="C664" s="2223" t="s">
        <v>1793</v>
      </c>
      <c r="D664" s="2224"/>
      <c r="E664" s="2225"/>
      <c r="F664" s="579"/>
      <c r="G664" s="548"/>
      <c r="H664" s="602">
        <v>1030902</v>
      </c>
      <c r="I664" s="607"/>
    </row>
    <row r="665" spans="1:9" s="404" customFormat="1">
      <c r="A665" s="2245"/>
      <c r="B665" s="2265"/>
      <c r="C665" s="2223" t="s">
        <v>1794</v>
      </c>
      <c r="D665" s="2224"/>
      <c r="E665" s="2225"/>
      <c r="F665" s="579" t="s">
        <v>991</v>
      </c>
      <c r="G665" s="548"/>
      <c r="H665" s="602">
        <v>8807935</v>
      </c>
      <c r="I665" s="606"/>
    </row>
    <row r="666" spans="1:9" s="404" customFormat="1">
      <c r="A666" s="2245"/>
      <c r="B666" s="2265"/>
      <c r="C666" s="2223" t="s">
        <v>1934</v>
      </c>
      <c r="D666" s="2224"/>
      <c r="E666" s="2225"/>
      <c r="F666" s="579" t="s">
        <v>990</v>
      </c>
      <c r="G666" s="548"/>
      <c r="H666" s="602">
        <v>7734886</v>
      </c>
      <c r="I666" s="606"/>
    </row>
    <row r="667" spans="1:9" s="404" customFormat="1">
      <c r="A667" s="2245"/>
      <c r="B667" s="2265"/>
      <c r="C667" s="2223" t="s">
        <v>1935</v>
      </c>
      <c r="D667" s="2224"/>
      <c r="E667" s="2225"/>
      <c r="F667" s="579" t="s">
        <v>989</v>
      </c>
      <c r="G667" s="548"/>
      <c r="H667" s="602">
        <v>9120908</v>
      </c>
      <c r="I667" s="606"/>
    </row>
    <row r="668" spans="1:9" s="404" customFormat="1">
      <c r="A668" s="2245"/>
      <c r="B668" s="2265"/>
      <c r="C668" s="2223" t="s">
        <v>1936</v>
      </c>
      <c r="D668" s="2224"/>
      <c r="E668" s="2225"/>
      <c r="F668" s="579" t="s">
        <v>993</v>
      </c>
      <c r="G668" s="548"/>
      <c r="H668" s="602">
        <v>19001892</v>
      </c>
      <c r="I668" s="606"/>
    </row>
    <row r="669" spans="1:9" s="404" customFormat="1">
      <c r="A669" s="2245"/>
      <c r="B669" s="2265"/>
      <c r="C669" s="2223" t="s">
        <v>1937</v>
      </c>
      <c r="D669" s="2224"/>
      <c r="E669" s="2225"/>
      <c r="F669" s="579">
        <v>2039</v>
      </c>
      <c r="G669" s="548"/>
      <c r="H669" s="602">
        <v>13904973</v>
      </c>
      <c r="I669" s="606"/>
    </row>
    <row r="670" spans="1:9" s="404" customFormat="1">
      <c r="A670" s="2245"/>
      <c r="B670" s="2265"/>
      <c r="C670" s="2223" t="s">
        <v>1801</v>
      </c>
      <c r="D670" s="2224"/>
      <c r="E670" s="2225"/>
      <c r="F670" s="579" t="s">
        <v>1761</v>
      </c>
      <c r="G670" s="548"/>
      <c r="H670" s="602">
        <v>52612498</v>
      </c>
      <c r="I670" s="606"/>
    </row>
    <row r="671" spans="1:9" s="404" customFormat="1">
      <c r="A671" s="2245"/>
      <c r="B671" s="2265"/>
      <c r="C671" s="2223" t="s">
        <v>1801</v>
      </c>
      <c r="D671" s="2224"/>
      <c r="E671" s="2225"/>
      <c r="F671" s="579" t="s">
        <v>1035</v>
      </c>
      <c r="G671" s="548"/>
      <c r="H671" s="602">
        <v>9284557</v>
      </c>
      <c r="I671" s="606"/>
    </row>
    <row r="672" spans="1:9" s="404" customFormat="1">
      <c r="A672" s="2245"/>
      <c r="B672" s="2265"/>
      <c r="C672" s="2223" t="s">
        <v>1801</v>
      </c>
      <c r="D672" s="2224"/>
      <c r="E672" s="2225"/>
      <c r="F672" s="579" t="s">
        <v>970</v>
      </c>
      <c r="G672" s="548"/>
      <c r="H672" s="602">
        <v>26822057</v>
      </c>
      <c r="I672" s="606"/>
    </row>
    <row r="673" spans="1:9" s="404" customFormat="1">
      <c r="A673" s="2245"/>
      <c r="B673" s="2265"/>
      <c r="C673" s="2223" t="s">
        <v>1801</v>
      </c>
      <c r="D673" s="2224"/>
      <c r="E673" s="2225"/>
      <c r="F673" s="579" t="s">
        <v>1763</v>
      </c>
      <c r="G673" s="548"/>
      <c r="H673" s="602">
        <v>14442647</v>
      </c>
      <c r="I673" s="606"/>
    </row>
    <row r="674" spans="1:9" s="404" customFormat="1">
      <c r="A674" s="2245"/>
      <c r="B674" s="2265"/>
      <c r="C674" s="2223" t="s">
        <v>1802</v>
      </c>
      <c r="D674" s="2224"/>
      <c r="E674" s="2225"/>
      <c r="F674" s="579" t="s">
        <v>934</v>
      </c>
      <c r="G674" s="548"/>
      <c r="H674" s="602">
        <v>695861</v>
      </c>
      <c r="I674" s="606"/>
    </row>
    <row r="675" spans="1:9" s="404" customFormat="1">
      <c r="A675" s="2245"/>
      <c r="B675" s="2265"/>
      <c r="C675" s="2223" t="s">
        <v>1803</v>
      </c>
      <c r="D675" s="2224"/>
      <c r="E675" s="2225"/>
      <c r="F675" s="579" t="s">
        <v>934</v>
      </c>
      <c r="G675" s="548"/>
      <c r="H675" s="602">
        <v>642961</v>
      </c>
      <c r="I675" s="606"/>
    </row>
    <row r="676" spans="1:9" s="404" customFormat="1">
      <c r="A676" s="2245"/>
      <c r="B676" s="2265"/>
      <c r="C676" s="2223" t="s">
        <v>1804</v>
      </c>
      <c r="D676" s="2224"/>
      <c r="E676" s="2225"/>
      <c r="F676" s="579" t="s">
        <v>934</v>
      </c>
      <c r="G676" s="548"/>
      <c r="H676" s="602">
        <v>674932</v>
      </c>
      <c r="I676" s="606"/>
    </row>
    <row r="677" spans="1:9" s="404" customFormat="1">
      <c r="A677" s="2245"/>
      <c r="B677" s="2265"/>
      <c r="C677" s="2223" t="s">
        <v>1805</v>
      </c>
      <c r="D677" s="2224"/>
      <c r="E677" s="2225"/>
      <c r="F677" s="579" t="s">
        <v>934</v>
      </c>
      <c r="G677" s="548"/>
      <c r="H677" s="602">
        <v>629324</v>
      </c>
      <c r="I677" s="606"/>
    </row>
    <row r="678" spans="1:9" s="404" customFormat="1">
      <c r="A678" s="2245"/>
      <c r="B678" s="2265"/>
      <c r="C678" s="2223" t="s">
        <v>1830</v>
      </c>
      <c r="D678" s="2224"/>
      <c r="E678" s="2225"/>
      <c r="F678" s="579"/>
      <c r="G678" s="548"/>
      <c r="H678" s="602">
        <v>3875072</v>
      </c>
      <c r="I678" s="606"/>
    </row>
    <row r="679" spans="1:9" s="404" customFormat="1">
      <c r="A679" s="2245"/>
      <c r="B679" s="2265"/>
      <c r="C679" s="2223" t="s">
        <v>1831</v>
      </c>
      <c r="D679" s="2224"/>
      <c r="E679" s="2225"/>
      <c r="F679" s="579"/>
      <c r="G679" s="548"/>
      <c r="H679" s="602">
        <v>295432</v>
      </c>
      <c r="I679" s="606"/>
    </row>
    <row r="680" spans="1:9" s="404" customFormat="1">
      <c r="A680" s="2245"/>
      <c r="B680" s="2265"/>
      <c r="C680" s="2223" t="s">
        <v>1832</v>
      </c>
      <c r="D680" s="2224"/>
      <c r="E680" s="2225"/>
      <c r="F680" s="579" t="s">
        <v>557</v>
      </c>
      <c r="G680" s="548"/>
      <c r="H680" s="602">
        <v>33345808</v>
      </c>
      <c r="I680" s="606"/>
    </row>
    <row r="681" spans="1:9" s="404" customFormat="1">
      <c r="A681" s="2245"/>
      <c r="B681" s="2265"/>
      <c r="C681" s="2223" t="s">
        <v>1833</v>
      </c>
      <c r="D681" s="2224"/>
      <c r="E681" s="2225"/>
      <c r="F681" s="579"/>
      <c r="G681" s="548"/>
      <c r="H681" s="602">
        <f>501436*3+501435</f>
        <v>2005743</v>
      </c>
      <c r="I681" s="606"/>
    </row>
    <row r="682" spans="1:9" s="404" customFormat="1">
      <c r="A682" s="2245"/>
      <c r="B682" s="2265"/>
      <c r="C682" s="2223" t="s">
        <v>1834</v>
      </c>
      <c r="D682" s="2224"/>
      <c r="E682" s="2225"/>
      <c r="F682" s="579"/>
      <c r="G682" s="548"/>
      <c r="H682" s="602">
        <v>9376529</v>
      </c>
      <c r="I682" s="606"/>
    </row>
    <row r="683" spans="1:9" s="404" customFormat="1">
      <c r="A683" s="2245"/>
      <c r="B683" s="2265"/>
      <c r="C683" s="2223" t="s">
        <v>1835</v>
      </c>
      <c r="D683" s="2224"/>
      <c r="E683" s="2225"/>
      <c r="F683" s="579"/>
      <c r="G683" s="548"/>
      <c r="H683" s="602">
        <v>12057702</v>
      </c>
      <c r="I683" s="606"/>
    </row>
    <row r="684" spans="1:9" s="404" customFormat="1">
      <c r="A684" s="2245"/>
      <c r="B684" s="2265"/>
      <c r="C684" s="2223" t="s">
        <v>1836</v>
      </c>
      <c r="D684" s="2224"/>
      <c r="E684" s="2225"/>
      <c r="F684" s="579" t="s">
        <v>507</v>
      </c>
      <c r="G684" s="548"/>
      <c r="H684" s="602">
        <v>5026538</v>
      </c>
      <c r="I684" s="606"/>
    </row>
    <row r="685" spans="1:9" s="404" customFormat="1">
      <c r="A685" s="2245"/>
      <c r="B685" s="2265"/>
      <c r="C685" s="2223" t="s">
        <v>1836</v>
      </c>
      <c r="D685" s="2224"/>
      <c r="E685" s="2225"/>
      <c r="F685" s="579" t="s">
        <v>1035</v>
      </c>
      <c r="G685" s="548"/>
      <c r="H685" s="602">
        <v>5026538</v>
      </c>
      <c r="I685" s="606"/>
    </row>
    <row r="686" spans="1:9" s="404" customFormat="1">
      <c r="A686" s="2245"/>
      <c r="B686" s="2265"/>
      <c r="C686" s="2223" t="s">
        <v>1837</v>
      </c>
      <c r="D686" s="2224"/>
      <c r="E686" s="2225"/>
      <c r="F686" s="579"/>
      <c r="G686" s="548"/>
      <c r="H686" s="602">
        <v>7708092</v>
      </c>
      <c r="I686" s="606"/>
    </row>
    <row r="687" spans="1:9" s="404" customFormat="1">
      <c r="A687" s="2245"/>
      <c r="B687" s="2265"/>
      <c r="C687" s="2223" t="s">
        <v>1838</v>
      </c>
      <c r="D687" s="2224"/>
      <c r="E687" s="2225"/>
      <c r="F687" s="579"/>
      <c r="G687" s="548"/>
      <c r="H687" s="602">
        <v>1588779</v>
      </c>
      <c r="I687" s="606"/>
    </row>
    <row r="688" spans="1:9" s="404" customFormat="1">
      <c r="A688" s="2245"/>
      <c r="B688" s="2265"/>
      <c r="C688" s="2223" t="s">
        <v>1839</v>
      </c>
      <c r="D688" s="2224"/>
      <c r="E688" s="2225"/>
      <c r="F688" s="579"/>
      <c r="G688" s="548"/>
      <c r="H688" s="602">
        <v>761879</v>
      </c>
      <c r="I688" s="606"/>
    </row>
    <row r="689" spans="1:9" s="404" customFormat="1" ht="15.75" thickBot="1">
      <c r="A689" s="2245"/>
      <c r="B689" s="2265"/>
      <c r="C689" s="2226" t="s">
        <v>1730</v>
      </c>
      <c r="D689" s="2227"/>
      <c r="E689" s="2228"/>
      <c r="F689" s="1973" t="s">
        <v>939</v>
      </c>
      <c r="G689" s="566"/>
      <c r="H689" s="604">
        <v>30964648</v>
      </c>
      <c r="I689" s="606"/>
    </row>
    <row r="690" spans="1:9" s="404" customFormat="1" ht="15.75" thickTop="1">
      <c r="A690" s="2246"/>
      <c r="B690" s="2274"/>
      <c r="C690" s="2305" t="s">
        <v>1925</v>
      </c>
      <c r="D690" s="2306"/>
      <c r="E690" s="2306"/>
      <c r="F690" s="2306"/>
      <c r="G690" s="2307"/>
      <c r="H690" s="605">
        <f>SUM(H596:H689,H554:H595,H507:H553,H465:H506)</f>
        <v>2727287746</v>
      </c>
      <c r="I690" s="606"/>
    </row>
    <row r="691" spans="1:9" s="404" customFormat="1">
      <c r="A691" s="2256" t="s">
        <v>466</v>
      </c>
      <c r="B691" s="2258" t="s">
        <v>467</v>
      </c>
      <c r="C691" s="2259"/>
      <c r="D691" s="2259"/>
      <c r="E691" s="2256"/>
      <c r="F691" s="2262"/>
      <c r="G691" s="2258" t="s">
        <v>1484</v>
      </c>
      <c r="H691" s="2256"/>
      <c r="I691" s="1974"/>
    </row>
    <row r="692" spans="1:9" s="404" customFormat="1">
      <c r="A692" s="2257"/>
      <c r="B692" s="2260"/>
      <c r="C692" s="2261"/>
      <c r="D692" s="2261"/>
      <c r="E692" s="2257"/>
      <c r="F692" s="2263"/>
      <c r="G692" s="2260"/>
      <c r="H692" s="2257"/>
      <c r="I692" s="1974"/>
    </row>
    <row r="693" spans="1:9" s="404" customFormat="1">
      <c r="A693" s="2244"/>
      <c r="B693" s="2244"/>
      <c r="C693" s="2272" t="s">
        <v>800</v>
      </c>
      <c r="D693" s="2272"/>
      <c r="E693" s="2272"/>
      <c r="F693" s="2272"/>
      <c r="G693" s="2272"/>
      <c r="H693" s="2273"/>
      <c r="I693" s="606"/>
    </row>
    <row r="694" spans="1:9" s="404" customFormat="1">
      <c r="A694" s="2245"/>
      <c r="B694" s="2245"/>
      <c r="C694" s="2247" t="s">
        <v>1737</v>
      </c>
      <c r="D694" s="2248"/>
      <c r="E694" s="2248"/>
      <c r="F694" s="2248"/>
      <c r="G694" s="2249"/>
      <c r="H694" s="1975">
        <v>8310000</v>
      </c>
      <c r="I694" s="606"/>
    </row>
    <row r="695" spans="1:9" s="404" customFormat="1">
      <c r="A695" s="2245"/>
      <c r="B695" s="2245"/>
      <c r="C695" s="2247" t="s">
        <v>1738</v>
      </c>
      <c r="D695" s="2248"/>
      <c r="E695" s="2248"/>
      <c r="F695" s="2248"/>
      <c r="G695" s="2249"/>
      <c r="H695" s="1975">
        <v>6440000</v>
      </c>
      <c r="I695" s="606"/>
    </row>
    <row r="696" spans="1:9" s="404" customFormat="1">
      <c r="A696" s="2245"/>
      <c r="B696" s="2245"/>
      <c r="C696" s="2223" t="s">
        <v>1739</v>
      </c>
      <c r="D696" s="2224"/>
      <c r="E696" s="2224"/>
      <c r="F696" s="2224"/>
      <c r="G696" s="2225"/>
      <c r="H696" s="1975">
        <v>73057619</v>
      </c>
      <c r="I696" s="606"/>
    </row>
    <row r="697" spans="1:9" s="404" customFormat="1">
      <c r="A697" s="2245"/>
      <c r="B697" s="2245"/>
      <c r="C697" s="2223" t="s">
        <v>1740</v>
      </c>
      <c r="D697" s="2224"/>
      <c r="E697" s="2224"/>
      <c r="F697" s="2224"/>
      <c r="G697" s="2225"/>
      <c r="H697" s="1975">
        <v>2464893</v>
      </c>
      <c r="I697" s="606"/>
    </row>
    <row r="698" spans="1:9" s="404" customFormat="1">
      <c r="A698" s="2245"/>
      <c r="B698" s="2245"/>
      <c r="C698" s="2223" t="s">
        <v>1741</v>
      </c>
      <c r="D698" s="2224"/>
      <c r="E698" s="2224"/>
      <c r="F698" s="2224"/>
      <c r="G698" s="2225"/>
      <c r="H698" s="559">
        <v>291752</v>
      </c>
    </row>
    <row r="699" spans="1:9" s="404" customFormat="1">
      <c r="A699" s="2245"/>
      <c r="B699" s="2245"/>
      <c r="C699" s="2247" t="s">
        <v>1742</v>
      </c>
      <c r="D699" s="2248"/>
      <c r="E699" s="2248"/>
      <c r="F699" s="2248"/>
      <c r="G699" s="2249"/>
      <c r="H699" s="559">
        <v>3737991</v>
      </c>
    </row>
    <row r="700" spans="1:9" s="404" customFormat="1">
      <c r="A700" s="2245"/>
      <c r="B700" s="2245"/>
      <c r="C700" s="2247" t="s">
        <v>1605</v>
      </c>
      <c r="D700" s="2248"/>
      <c r="E700" s="2248"/>
      <c r="F700" s="2248"/>
      <c r="G700" s="2249"/>
      <c r="H700" s="559">
        <v>250000</v>
      </c>
    </row>
    <row r="701" spans="1:9" s="404" customFormat="1">
      <c r="A701" s="2245"/>
      <c r="B701" s="2245"/>
      <c r="C701" s="2247" t="s">
        <v>1606</v>
      </c>
      <c r="D701" s="2248"/>
      <c r="E701" s="2248"/>
      <c r="F701" s="2248"/>
      <c r="G701" s="2249"/>
      <c r="H701" s="559">
        <v>66000</v>
      </c>
    </row>
    <row r="702" spans="1:9" s="404" customFormat="1">
      <c r="A702" s="2245"/>
      <c r="B702" s="2245"/>
      <c r="C702" s="2247" t="s">
        <v>1466</v>
      </c>
      <c r="D702" s="2248"/>
      <c r="E702" s="2248"/>
      <c r="F702" s="2248"/>
      <c r="G702" s="2249"/>
      <c r="H702" s="559">
        <v>34840560</v>
      </c>
    </row>
    <row r="703" spans="1:9" s="404" customFormat="1">
      <c r="A703" s="2245"/>
      <c r="B703" s="2245"/>
      <c r="C703" s="2247" t="s">
        <v>1496</v>
      </c>
      <c r="D703" s="2248"/>
      <c r="E703" s="2248"/>
      <c r="F703" s="2248"/>
      <c r="G703" s="2249"/>
      <c r="H703" s="559">
        <v>780000</v>
      </c>
    </row>
    <row r="704" spans="1:9" s="404" customFormat="1">
      <c r="A704" s="2245"/>
      <c r="B704" s="2245"/>
      <c r="C704" s="2247" t="s">
        <v>1607</v>
      </c>
      <c r="D704" s="2248"/>
      <c r="E704" s="2248"/>
      <c r="F704" s="2248"/>
      <c r="G704" s="2249"/>
      <c r="H704" s="559">
        <v>350000</v>
      </c>
    </row>
    <row r="705" spans="1:9" s="404" customFormat="1">
      <c r="A705" s="2245"/>
      <c r="B705" s="2245"/>
      <c r="C705" s="2247" t="s">
        <v>1841</v>
      </c>
      <c r="D705" s="2248"/>
      <c r="E705" s="2248"/>
      <c r="F705" s="2248"/>
      <c r="G705" s="2249"/>
      <c r="H705" s="559">
        <v>1900000</v>
      </c>
    </row>
    <row r="706" spans="1:9" s="404" customFormat="1">
      <c r="A706" s="2245"/>
      <c r="B706" s="2245"/>
      <c r="C706" s="2247" t="s">
        <v>1743</v>
      </c>
      <c r="D706" s="2248"/>
      <c r="E706" s="2248"/>
      <c r="F706" s="2248"/>
      <c r="G706" s="2249"/>
      <c r="H706" s="559">
        <v>140645322</v>
      </c>
      <c r="I706" s="1972"/>
    </row>
    <row r="707" spans="1:9" s="404" customFormat="1">
      <c r="A707" s="2245"/>
      <c r="B707" s="2245"/>
      <c r="C707" s="2247" t="s">
        <v>1744</v>
      </c>
      <c r="D707" s="2248"/>
      <c r="E707" s="2248"/>
      <c r="F707" s="2248"/>
      <c r="G707" s="2249"/>
      <c r="H707" s="559">
        <v>108242246</v>
      </c>
      <c r="I707" s="1972"/>
    </row>
    <row r="708" spans="1:9" s="404" customFormat="1">
      <c r="A708" s="2245"/>
      <c r="B708" s="2245"/>
      <c r="C708" s="2247" t="s">
        <v>1745</v>
      </c>
      <c r="D708" s="2248"/>
      <c r="E708" s="2248"/>
      <c r="F708" s="2248"/>
      <c r="G708" s="2249"/>
      <c r="H708" s="559">
        <v>760000</v>
      </c>
    </row>
    <row r="709" spans="1:9" s="404" customFormat="1">
      <c r="A709" s="2245"/>
      <c r="B709" s="2245"/>
      <c r="C709" s="2247" t="s">
        <v>1608</v>
      </c>
      <c r="D709" s="2248"/>
      <c r="E709" s="2248"/>
      <c r="F709" s="2248"/>
      <c r="G709" s="2249"/>
      <c r="H709" s="559">
        <v>291666</v>
      </c>
    </row>
    <row r="710" spans="1:9" s="404" customFormat="1">
      <c r="A710" s="2245"/>
      <c r="B710" s="2245"/>
      <c r="C710" s="2247" t="s">
        <v>1746</v>
      </c>
      <c r="D710" s="2248"/>
      <c r="E710" s="2248"/>
      <c r="F710" s="2248"/>
      <c r="G710" s="2249"/>
      <c r="H710" s="559">
        <v>2140000</v>
      </c>
    </row>
    <row r="711" spans="1:9" s="404" customFormat="1">
      <c r="A711" s="2245"/>
      <c r="B711" s="2245"/>
      <c r="C711" s="2247" t="s">
        <v>1842</v>
      </c>
      <c r="D711" s="2248"/>
      <c r="E711" s="2248"/>
      <c r="F711" s="2248"/>
      <c r="G711" s="2249"/>
      <c r="H711" s="559">
        <v>2325000</v>
      </c>
    </row>
    <row r="712" spans="1:9" s="404" customFormat="1">
      <c r="A712" s="2245"/>
      <c r="B712" s="2245"/>
      <c r="C712" s="2247" t="s">
        <v>1843</v>
      </c>
      <c r="D712" s="2248"/>
      <c r="E712" s="2248"/>
      <c r="F712" s="2248"/>
      <c r="G712" s="2249"/>
      <c r="H712" s="559">
        <v>1650000</v>
      </c>
    </row>
    <row r="713" spans="1:9" s="404" customFormat="1">
      <c r="A713" s="2245"/>
      <c r="B713" s="2245"/>
      <c r="C713" s="2247" t="s">
        <v>1467</v>
      </c>
      <c r="D713" s="2248"/>
      <c r="E713" s="2248"/>
      <c r="F713" s="2248"/>
      <c r="G713" s="2249"/>
      <c r="H713" s="559">
        <v>6176724</v>
      </c>
    </row>
    <row r="714" spans="1:9" s="404" customFormat="1">
      <c r="A714" s="2245"/>
      <c r="B714" s="2245"/>
      <c r="C714" s="2247" t="s">
        <v>1844</v>
      </c>
      <c r="D714" s="2248"/>
      <c r="E714" s="2248"/>
      <c r="F714" s="2248"/>
      <c r="G714" s="2249"/>
      <c r="H714" s="559">
        <v>1998000</v>
      </c>
    </row>
    <row r="715" spans="1:9" s="404" customFormat="1">
      <c r="A715" s="2245"/>
      <c r="B715" s="2245"/>
      <c r="C715" s="2247" t="s">
        <v>1609</v>
      </c>
      <c r="D715" s="2248"/>
      <c r="E715" s="2248"/>
      <c r="F715" s="2248"/>
      <c r="G715" s="2249"/>
      <c r="H715" s="559">
        <v>700000</v>
      </c>
    </row>
    <row r="716" spans="1:9" s="404" customFormat="1">
      <c r="A716" s="2245"/>
      <c r="B716" s="2245"/>
      <c r="C716" s="2247" t="s">
        <v>1845</v>
      </c>
      <c r="D716" s="2248"/>
      <c r="E716" s="2248"/>
      <c r="F716" s="2248"/>
      <c r="G716" s="2249"/>
      <c r="H716" s="559">
        <v>9550284</v>
      </c>
    </row>
    <row r="717" spans="1:9" s="404" customFormat="1">
      <c r="A717" s="2245"/>
      <c r="B717" s="2245"/>
      <c r="C717" s="2247" t="s">
        <v>1846</v>
      </c>
      <c r="D717" s="2248"/>
      <c r="E717" s="2248"/>
      <c r="F717" s="2248"/>
      <c r="G717" s="2249"/>
      <c r="H717" s="559">
        <v>550000</v>
      </c>
    </row>
    <row r="718" spans="1:9" s="404" customFormat="1">
      <c r="A718" s="2245"/>
      <c r="B718" s="2245"/>
      <c r="C718" s="2247" t="s">
        <v>1468</v>
      </c>
      <c r="D718" s="2248"/>
      <c r="E718" s="2248"/>
      <c r="F718" s="2248"/>
      <c r="G718" s="2249"/>
      <c r="H718" s="559">
        <v>146050</v>
      </c>
    </row>
    <row r="719" spans="1:9" s="404" customFormat="1">
      <c r="A719" s="2245"/>
      <c r="B719" s="2245"/>
      <c r="C719" s="2247" t="s">
        <v>1469</v>
      </c>
      <c r="D719" s="2248"/>
      <c r="E719" s="2248"/>
      <c r="F719" s="2248"/>
      <c r="G719" s="2249"/>
      <c r="H719" s="559">
        <v>146050</v>
      </c>
    </row>
    <row r="720" spans="1:9" s="404" customFormat="1">
      <c r="A720" s="2245"/>
      <c r="B720" s="2245"/>
      <c r="C720" s="2247" t="s">
        <v>1610</v>
      </c>
      <c r="D720" s="2248"/>
      <c r="E720" s="2248"/>
      <c r="F720" s="2248"/>
      <c r="G720" s="2249"/>
      <c r="H720" s="559">
        <v>177800</v>
      </c>
    </row>
    <row r="721" spans="1:9" s="404" customFormat="1">
      <c r="A721" s="2245"/>
      <c r="B721" s="2245"/>
      <c r="C721" s="2247" t="s">
        <v>1611</v>
      </c>
      <c r="D721" s="2248"/>
      <c r="E721" s="2248"/>
      <c r="F721" s="2248"/>
      <c r="G721" s="2249"/>
      <c r="H721" s="559">
        <v>53841178</v>
      </c>
    </row>
    <row r="722" spans="1:9" s="404" customFormat="1">
      <c r="A722" s="2245"/>
      <c r="B722" s="2245"/>
      <c r="C722" s="2247" t="s">
        <v>1747</v>
      </c>
      <c r="D722" s="2248"/>
      <c r="E722" s="2248"/>
      <c r="F722" s="2248"/>
      <c r="G722" s="2249"/>
      <c r="H722" s="559">
        <v>300000</v>
      </c>
    </row>
    <row r="723" spans="1:9" s="404" customFormat="1">
      <c r="A723" s="2245"/>
      <c r="B723" s="2245"/>
      <c r="C723" s="2247" t="s">
        <v>1612</v>
      </c>
      <c r="D723" s="2248"/>
      <c r="E723" s="2248"/>
      <c r="F723" s="2248"/>
      <c r="G723" s="2249"/>
      <c r="H723" s="559">
        <v>220500</v>
      </c>
    </row>
    <row r="724" spans="1:9" s="404" customFormat="1">
      <c r="A724" s="2245"/>
      <c r="B724" s="2245"/>
      <c r="C724" s="2247" t="s">
        <v>1613</v>
      </c>
      <c r="D724" s="2248"/>
      <c r="E724" s="2248"/>
      <c r="F724" s="2248"/>
      <c r="G724" s="2249"/>
      <c r="H724" s="559">
        <v>924390</v>
      </c>
    </row>
    <row r="725" spans="1:9" s="404" customFormat="1">
      <c r="A725" s="2245"/>
      <c r="B725" s="2245"/>
      <c r="C725" s="2247" t="s">
        <v>1614</v>
      </c>
      <c r="D725" s="2248"/>
      <c r="E725" s="2248"/>
      <c r="F725" s="2248"/>
      <c r="G725" s="2249"/>
      <c r="H725" s="559">
        <v>6375625</v>
      </c>
    </row>
    <row r="726" spans="1:9" s="404" customFormat="1">
      <c r="A726" s="2245"/>
      <c r="B726" s="2245"/>
      <c r="C726" s="2247" t="s">
        <v>1847</v>
      </c>
      <c r="D726" s="2248"/>
      <c r="E726" s="2248"/>
      <c r="F726" s="2248"/>
      <c r="G726" s="2249"/>
      <c r="H726" s="559">
        <v>1830000</v>
      </c>
    </row>
    <row r="727" spans="1:9" s="404" customFormat="1" ht="15.75" thickBot="1">
      <c r="A727" s="2245"/>
      <c r="B727" s="2245"/>
      <c r="C727" s="2250" t="s">
        <v>1615</v>
      </c>
      <c r="D727" s="2251"/>
      <c r="E727" s="2251"/>
      <c r="F727" s="2251"/>
      <c r="G727" s="2252"/>
      <c r="H727" s="567">
        <v>1357480</v>
      </c>
    </row>
    <row r="728" spans="1:9" s="404" customFormat="1" ht="15.75" thickTop="1">
      <c r="A728" s="2246"/>
      <c r="B728" s="2246"/>
      <c r="C728" s="2305" t="s">
        <v>1926</v>
      </c>
      <c r="D728" s="2306"/>
      <c r="E728" s="2306"/>
      <c r="F728" s="2306"/>
      <c r="G728" s="2307"/>
      <c r="H728" s="565">
        <f>SUM(H694:H727)</f>
        <v>472837130</v>
      </c>
    </row>
    <row r="729" spans="1:9" s="404" customFormat="1">
      <c r="A729" s="2253" t="s">
        <v>2235</v>
      </c>
      <c r="B729" s="2254"/>
      <c r="C729" s="2254"/>
      <c r="D729" s="2254"/>
      <c r="E729" s="2254"/>
      <c r="F729" s="2254"/>
      <c r="G729" s="2254"/>
      <c r="H729" s="2255"/>
    </row>
    <row r="730" spans="1:9" s="404" customFormat="1">
      <c r="A730" s="2256"/>
      <c r="B730" s="2258" t="s">
        <v>467</v>
      </c>
      <c r="C730" s="2259"/>
      <c r="D730" s="2259"/>
      <c r="E730" s="2256"/>
      <c r="F730" s="2262" t="s">
        <v>1929</v>
      </c>
      <c r="G730" s="2258" t="s">
        <v>1484</v>
      </c>
      <c r="H730" s="2256"/>
    </row>
    <row r="731" spans="1:9" s="404" customFormat="1">
      <c r="A731" s="2257"/>
      <c r="B731" s="2260"/>
      <c r="C731" s="2261"/>
      <c r="D731" s="2261"/>
      <c r="E731" s="2257"/>
      <c r="F731" s="2263"/>
      <c r="G731" s="2260"/>
      <c r="H731" s="2257"/>
    </row>
    <row r="732" spans="1:9" s="404" customFormat="1" ht="15.75" thickBot="1">
      <c r="A732" s="2244"/>
      <c r="B732" s="2264"/>
      <c r="C732" s="2266" t="s">
        <v>2236</v>
      </c>
      <c r="D732" s="2267"/>
      <c r="E732" s="2267"/>
      <c r="F732" s="2268"/>
      <c r="G732" s="548"/>
      <c r="H732" s="550">
        <v>4671844</v>
      </c>
    </row>
    <row r="733" spans="1:9" s="404" customFormat="1" ht="15.75" thickTop="1">
      <c r="A733" s="2245"/>
      <c r="B733" s="2265"/>
      <c r="C733" s="2269" t="s">
        <v>168</v>
      </c>
      <c r="D733" s="2270"/>
      <c r="E733" s="2270"/>
      <c r="F733" s="2270"/>
      <c r="G733" s="2271"/>
      <c r="H733" s="740">
        <f>SUM(H732:H732)</f>
        <v>4671844</v>
      </c>
    </row>
    <row r="734" spans="1:9" s="404" customFormat="1">
      <c r="A734" s="2256" t="s">
        <v>466</v>
      </c>
      <c r="B734" s="2258" t="s">
        <v>467</v>
      </c>
      <c r="C734" s="2259"/>
      <c r="D734" s="2259"/>
      <c r="E734" s="2256"/>
      <c r="F734" s="2262"/>
      <c r="G734" s="2258" t="s">
        <v>1484</v>
      </c>
      <c r="H734" s="2256"/>
      <c r="I734" s="411"/>
    </row>
    <row r="735" spans="1:9" s="404" customFormat="1">
      <c r="A735" s="2257"/>
      <c r="B735" s="2260"/>
      <c r="C735" s="2261"/>
      <c r="D735" s="2261"/>
      <c r="E735" s="2257"/>
      <c r="F735" s="2263"/>
      <c r="G735" s="2260"/>
      <c r="H735" s="2257"/>
      <c r="I735" s="412"/>
    </row>
    <row r="736" spans="1:9" s="404" customFormat="1">
      <c r="A736" s="2436" t="s">
        <v>472</v>
      </c>
      <c r="B736" s="2437"/>
      <c r="C736" s="2296" t="s">
        <v>472</v>
      </c>
      <c r="D736" s="2272"/>
      <c r="E736" s="2272"/>
      <c r="F736" s="2272"/>
      <c r="G736" s="2272"/>
      <c r="H736" s="2273"/>
    </row>
    <row r="737" spans="1:9" s="404" customFormat="1">
      <c r="A737" s="2438"/>
      <c r="B737" s="2439"/>
      <c r="C737" s="2247" t="s">
        <v>483</v>
      </c>
      <c r="D737" s="2248"/>
      <c r="E737" s="2248"/>
      <c r="F737" s="2248"/>
      <c r="G737" s="2249"/>
      <c r="H737" s="550">
        <v>426638</v>
      </c>
    </row>
    <row r="738" spans="1:9" s="404" customFormat="1">
      <c r="A738" s="2438"/>
      <c r="B738" s="2439"/>
      <c r="C738" s="2247" t="s">
        <v>801</v>
      </c>
      <c r="D738" s="2248"/>
      <c r="E738" s="2248"/>
      <c r="F738" s="2248"/>
      <c r="G738" s="2249"/>
      <c r="H738" s="550">
        <v>96237751</v>
      </c>
    </row>
    <row r="739" spans="1:9" s="404" customFormat="1">
      <c r="A739" s="2438"/>
      <c r="B739" s="2439"/>
      <c r="C739" s="2247" t="s">
        <v>485</v>
      </c>
      <c r="D739" s="2248"/>
      <c r="E739" s="2248"/>
      <c r="F739" s="2248"/>
      <c r="G739" s="2249"/>
      <c r="H739" s="550">
        <v>44936110</v>
      </c>
    </row>
    <row r="740" spans="1:9" s="404" customFormat="1">
      <c r="A740" s="2438"/>
      <c r="B740" s="2439"/>
      <c r="C740" s="2247" t="s">
        <v>1470</v>
      </c>
      <c r="D740" s="2248"/>
      <c r="E740" s="2248"/>
      <c r="F740" s="2248"/>
      <c r="G740" s="2249"/>
      <c r="H740" s="550">
        <v>23528959</v>
      </c>
    </row>
    <row r="741" spans="1:9" s="404" customFormat="1" ht="15.75" thickBot="1">
      <c r="A741" s="2438"/>
      <c r="B741" s="2439"/>
      <c r="C741" s="2250" t="s">
        <v>802</v>
      </c>
      <c r="D741" s="2251"/>
      <c r="E741" s="2251"/>
      <c r="F741" s="2251"/>
      <c r="G741" s="2252"/>
      <c r="H741" s="569">
        <v>143000</v>
      </c>
    </row>
    <row r="742" spans="1:9" s="404" customFormat="1" ht="15.75" thickTop="1">
      <c r="A742" s="2438"/>
      <c r="B742" s="2439"/>
      <c r="C742" s="2305" t="s">
        <v>1927</v>
      </c>
      <c r="D742" s="2306"/>
      <c r="E742" s="2306"/>
      <c r="F742" s="2306"/>
      <c r="G742" s="2307"/>
      <c r="H742" s="565">
        <f>SUM(H737:H741)</f>
        <v>165272458</v>
      </c>
    </row>
    <row r="743" spans="1:9" s="404" customFormat="1">
      <c r="A743" s="2245"/>
      <c r="B743" s="2245"/>
      <c r="C743" s="2245"/>
      <c r="D743" s="2245"/>
      <c r="E743" s="2245"/>
      <c r="F743" s="2245"/>
      <c r="G743" s="2245"/>
      <c r="H743" s="2245"/>
    </row>
    <row r="744" spans="1:9" s="404" customFormat="1">
      <c r="A744" s="2246"/>
      <c r="B744" s="2246"/>
      <c r="C744" s="2246"/>
      <c r="D744" s="2246"/>
      <c r="E744" s="2246"/>
      <c r="F744" s="2246"/>
      <c r="G744" s="2246"/>
      <c r="H744" s="2246"/>
    </row>
    <row r="745" spans="1:9" s="404" customFormat="1" ht="15.75" thickBot="1">
      <c r="A745" s="2440" t="s">
        <v>475</v>
      </c>
      <c r="B745" s="2440"/>
      <c r="C745" s="2440"/>
      <c r="D745" s="2440"/>
      <c r="E745" s="2440"/>
      <c r="F745" s="2440"/>
      <c r="G745" s="1976"/>
      <c r="H745" s="1977">
        <f>SUM(H321,H461,H690,H728,H742,H410+H733)</f>
        <v>3890810918</v>
      </c>
      <c r="I745" s="1978"/>
    </row>
    <row r="746" spans="1:9" s="404" customFormat="1" ht="15" customHeight="1">
      <c r="A746" s="2282" t="s">
        <v>803</v>
      </c>
      <c r="B746" s="2283"/>
      <c r="C746" s="2283"/>
      <c r="D746" s="2283"/>
      <c r="E746" s="2283"/>
      <c r="F746" s="2283"/>
      <c r="G746" s="2283"/>
      <c r="H746" s="2284"/>
    </row>
    <row r="747" spans="1:9" s="404" customFormat="1" ht="15.75" customHeight="1">
      <c r="A747" s="2285"/>
      <c r="B747" s="2286"/>
      <c r="C747" s="2286"/>
      <c r="D747" s="2286"/>
      <c r="E747" s="2286"/>
      <c r="F747" s="2286"/>
      <c r="G747" s="2286"/>
      <c r="H747" s="2287"/>
    </row>
    <row r="748" spans="1:9" s="404" customFormat="1">
      <c r="A748" s="2256" t="s">
        <v>466</v>
      </c>
      <c r="B748" s="2258" t="s">
        <v>467</v>
      </c>
      <c r="C748" s="2259"/>
      <c r="D748" s="2259"/>
      <c r="E748" s="2256"/>
      <c r="F748" s="2262" t="s">
        <v>1929</v>
      </c>
      <c r="G748" s="2258" t="s">
        <v>1484</v>
      </c>
      <c r="H748" s="2256"/>
      <c r="I748" s="411"/>
    </row>
    <row r="749" spans="1:9" s="404" customFormat="1">
      <c r="A749" s="2257"/>
      <c r="B749" s="2260"/>
      <c r="C749" s="2261"/>
      <c r="D749" s="2261"/>
      <c r="E749" s="2257"/>
      <c r="F749" s="2263"/>
      <c r="G749" s="2260"/>
      <c r="H749" s="2257"/>
      <c r="I749" s="412"/>
    </row>
    <row r="750" spans="1:9" s="404" customFormat="1">
      <c r="A750" s="2244"/>
      <c r="B750" s="2264"/>
      <c r="C750" s="2296" t="s">
        <v>804</v>
      </c>
      <c r="D750" s="2272"/>
      <c r="E750" s="2272"/>
      <c r="F750" s="2272"/>
      <c r="G750" s="2272"/>
      <c r="H750" s="2273"/>
    </row>
    <row r="751" spans="1:9" s="404" customFormat="1">
      <c r="A751" s="2245"/>
      <c r="B751" s="2265"/>
      <c r="C751" s="2223" t="s">
        <v>805</v>
      </c>
      <c r="D751" s="2224"/>
      <c r="E751" s="2225"/>
      <c r="F751" s="557" t="s">
        <v>806</v>
      </c>
      <c r="G751" s="548"/>
      <c r="H751" s="546">
        <v>1314000</v>
      </c>
    </row>
    <row r="752" spans="1:9" s="404" customFormat="1">
      <c r="A752" s="2245"/>
      <c r="B752" s="2265"/>
      <c r="C752" s="2223" t="s">
        <v>807</v>
      </c>
      <c r="D752" s="2224"/>
      <c r="E752" s="2225"/>
      <c r="F752" s="557" t="s">
        <v>750</v>
      </c>
      <c r="G752" s="548"/>
      <c r="H752" s="546">
        <v>2589000</v>
      </c>
    </row>
    <row r="753" spans="1:8" s="404" customFormat="1">
      <c r="A753" s="2245"/>
      <c r="B753" s="2265"/>
      <c r="C753" s="2223" t="s">
        <v>808</v>
      </c>
      <c r="D753" s="2224"/>
      <c r="E753" s="2225"/>
      <c r="F753" s="1960" t="s">
        <v>809</v>
      </c>
      <c r="G753" s="548"/>
      <c r="H753" s="546">
        <v>7596000</v>
      </c>
    </row>
    <row r="754" spans="1:8" s="404" customFormat="1">
      <c r="A754" s="2245"/>
      <c r="B754" s="2265"/>
      <c r="C754" s="2223" t="s">
        <v>810</v>
      </c>
      <c r="D754" s="2224"/>
      <c r="E754" s="2225"/>
      <c r="F754" s="1960" t="s">
        <v>811</v>
      </c>
      <c r="G754" s="548"/>
      <c r="H754" s="546">
        <v>1980000</v>
      </c>
    </row>
    <row r="755" spans="1:8" s="404" customFormat="1">
      <c r="A755" s="2245"/>
      <c r="B755" s="2265"/>
      <c r="C755" s="2223" t="s">
        <v>812</v>
      </c>
      <c r="D755" s="2224"/>
      <c r="E755" s="2225"/>
      <c r="F755" s="557" t="s">
        <v>813</v>
      </c>
      <c r="G755" s="548"/>
      <c r="H755" s="546">
        <v>2744000</v>
      </c>
    </row>
    <row r="756" spans="1:8" s="404" customFormat="1">
      <c r="A756" s="2245"/>
      <c r="B756" s="2265"/>
      <c r="C756" s="2223" t="s">
        <v>814</v>
      </c>
      <c r="D756" s="2224"/>
      <c r="E756" s="2225"/>
      <c r="F756" s="557" t="s">
        <v>815</v>
      </c>
      <c r="G756" s="548"/>
      <c r="H756" s="546">
        <v>2765000</v>
      </c>
    </row>
    <row r="757" spans="1:8" s="404" customFormat="1">
      <c r="A757" s="2245"/>
      <c r="B757" s="2265"/>
      <c r="C757" s="2223" t="s">
        <v>816</v>
      </c>
      <c r="D757" s="2224"/>
      <c r="E757" s="2225"/>
      <c r="F757" s="557" t="s">
        <v>817</v>
      </c>
      <c r="G757" s="548"/>
      <c r="H757" s="546">
        <v>1527000</v>
      </c>
    </row>
    <row r="758" spans="1:8" s="404" customFormat="1">
      <c r="A758" s="2245"/>
      <c r="B758" s="2265"/>
      <c r="C758" s="2223" t="s">
        <v>816</v>
      </c>
      <c r="D758" s="2224"/>
      <c r="E758" s="2225"/>
      <c r="F758" s="557" t="s">
        <v>818</v>
      </c>
      <c r="G758" s="548"/>
      <c r="H758" s="546">
        <v>1442000</v>
      </c>
    </row>
    <row r="759" spans="1:8" s="404" customFormat="1">
      <c r="A759" s="2245"/>
      <c r="B759" s="2265"/>
      <c r="C759" s="2223" t="s">
        <v>1894</v>
      </c>
      <c r="D759" s="2224"/>
      <c r="E759" s="2225"/>
      <c r="F759" s="557" t="s">
        <v>819</v>
      </c>
      <c r="G759" s="548"/>
      <c r="H759" s="546">
        <v>1430000</v>
      </c>
    </row>
    <row r="760" spans="1:8" s="404" customFormat="1">
      <c r="A760" s="2245"/>
      <c r="B760" s="2265"/>
      <c r="C760" s="2223" t="s">
        <v>820</v>
      </c>
      <c r="D760" s="2224"/>
      <c r="E760" s="2225"/>
      <c r="F760" s="557" t="s">
        <v>821</v>
      </c>
      <c r="G760" s="548"/>
      <c r="H760" s="546">
        <v>3900000</v>
      </c>
    </row>
    <row r="761" spans="1:8" s="404" customFormat="1">
      <c r="A761" s="2245"/>
      <c r="B761" s="2265"/>
      <c r="C761" s="2223" t="s">
        <v>1894</v>
      </c>
      <c r="D761" s="2224"/>
      <c r="E761" s="2225"/>
      <c r="F761" s="557" t="s">
        <v>822</v>
      </c>
      <c r="G761" s="548"/>
      <c r="H761" s="546">
        <v>1466000</v>
      </c>
    </row>
    <row r="762" spans="1:8" s="404" customFormat="1">
      <c r="A762" s="2245"/>
      <c r="B762" s="2265"/>
      <c r="C762" s="2223" t="s">
        <v>823</v>
      </c>
      <c r="D762" s="2224"/>
      <c r="E762" s="2225"/>
      <c r="F762" s="557" t="s">
        <v>824</v>
      </c>
      <c r="G762" s="548"/>
      <c r="H762" s="546">
        <v>1431000</v>
      </c>
    </row>
    <row r="763" spans="1:8" s="404" customFormat="1">
      <c r="A763" s="2245"/>
      <c r="B763" s="2265"/>
      <c r="C763" s="2223" t="s">
        <v>823</v>
      </c>
      <c r="D763" s="2224"/>
      <c r="E763" s="2225"/>
      <c r="F763" s="557" t="s">
        <v>825</v>
      </c>
      <c r="G763" s="548"/>
      <c r="H763" s="546">
        <v>1417000</v>
      </c>
    </row>
    <row r="764" spans="1:8" s="404" customFormat="1">
      <c r="A764" s="2245"/>
      <c r="B764" s="2265"/>
      <c r="C764" s="2223" t="s">
        <v>826</v>
      </c>
      <c r="D764" s="2224"/>
      <c r="E764" s="2225"/>
      <c r="F764" s="557" t="s">
        <v>827</v>
      </c>
      <c r="G764" s="548"/>
      <c r="H764" s="546">
        <v>4023000</v>
      </c>
    </row>
    <row r="765" spans="1:8" s="404" customFormat="1">
      <c r="A765" s="2245"/>
      <c r="B765" s="2265"/>
      <c r="C765" s="2223" t="s">
        <v>828</v>
      </c>
      <c r="D765" s="2224"/>
      <c r="E765" s="2225"/>
      <c r="F765" s="557" t="s">
        <v>829</v>
      </c>
      <c r="G765" s="548"/>
      <c r="H765" s="546">
        <v>3193000</v>
      </c>
    </row>
    <row r="766" spans="1:8" s="404" customFormat="1">
      <c r="A766" s="2245"/>
      <c r="B766" s="2265"/>
      <c r="C766" s="2223" t="s">
        <v>828</v>
      </c>
      <c r="D766" s="2224"/>
      <c r="E766" s="2225"/>
      <c r="F766" s="1960" t="s">
        <v>830</v>
      </c>
      <c r="G766" s="548"/>
      <c r="H766" s="546">
        <v>4074000</v>
      </c>
    </row>
    <row r="767" spans="1:8" s="404" customFormat="1">
      <c r="A767" s="2245"/>
      <c r="B767" s="2265"/>
      <c r="C767" s="2223" t="s">
        <v>1874</v>
      </c>
      <c r="D767" s="2224"/>
      <c r="E767" s="2225"/>
      <c r="F767" s="557" t="s">
        <v>831</v>
      </c>
      <c r="G767" s="548"/>
      <c r="H767" s="546">
        <v>3549000</v>
      </c>
    </row>
    <row r="768" spans="1:8" s="404" customFormat="1">
      <c r="A768" s="2245"/>
      <c r="B768" s="2265"/>
      <c r="C768" s="2223" t="s">
        <v>1875</v>
      </c>
      <c r="D768" s="2224"/>
      <c r="E768" s="2225"/>
      <c r="F768" s="557" t="s">
        <v>832</v>
      </c>
      <c r="G768" s="548"/>
      <c r="H768" s="546">
        <v>3427000</v>
      </c>
    </row>
    <row r="769" spans="1:8" s="404" customFormat="1">
      <c r="A769" s="2245"/>
      <c r="B769" s="2265"/>
      <c r="C769" s="2223" t="s">
        <v>833</v>
      </c>
      <c r="D769" s="2224"/>
      <c r="E769" s="2225"/>
      <c r="F769" s="557" t="s">
        <v>834</v>
      </c>
      <c r="G769" s="548"/>
      <c r="H769" s="546">
        <v>5268000</v>
      </c>
    </row>
    <row r="770" spans="1:8" s="404" customFormat="1">
      <c r="A770" s="2245"/>
      <c r="B770" s="2265"/>
      <c r="C770" s="2223" t="s">
        <v>835</v>
      </c>
      <c r="D770" s="2224"/>
      <c r="E770" s="2225"/>
      <c r="F770" s="557" t="s">
        <v>836</v>
      </c>
      <c r="G770" s="548"/>
      <c r="H770" s="546">
        <v>14854000</v>
      </c>
    </row>
    <row r="771" spans="1:8" s="404" customFormat="1">
      <c r="A771" s="2245"/>
      <c r="B771" s="2265"/>
      <c r="C771" s="2223" t="s">
        <v>837</v>
      </c>
      <c r="D771" s="2224"/>
      <c r="E771" s="2225"/>
      <c r="F771" s="557" t="s">
        <v>838</v>
      </c>
      <c r="G771" s="548"/>
      <c r="H771" s="546">
        <v>621000</v>
      </c>
    </row>
    <row r="772" spans="1:8" s="404" customFormat="1">
      <c r="A772" s="2245"/>
      <c r="B772" s="2265"/>
      <c r="C772" s="2223" t="s">
        <v>839</v>
      </c>
      <c r="D772" s="2224"/>
      <c r="E772" s="2225"/>
      <c r="F772" s="557" t="s">
        <v>840</v>
      </c>
      <c r="G772" s="548"/>
      <c r="H772" s="546">
        <v>1634000</v>
      </c>
    </row>
    <row r="773" spans="1:8" s="404" customFormat="1">
      <c r="A773" s="2245"/>
      <c r="B773" s="2265"/>
      <c r="C773" s="2223" t="s">
        <v>841</v>
      </c>
      <c r="D773" s="2224"/>
      <c r="E773" s="2225"/>
      <c r="F773" s="557" t="s">
        <v>842</v>
      </c>
      <c r="G773" s="548"/>
      <c r="H773" s="546">
        <v>3098000</v>
      </c>
    </row>
    <row r="774" spans="1:8" s="404" customFormat="1">
      <c r="A774" s="2245"/>
      <c r="B774" s="2265"/>
      <c r="C774" s="2223" t="s">
        <v>843</v>
      </c>
      <c r="D774" s="2224"/>
      <c r="E774" s="2225"/>
      <c r="F774" s="1960" t="s">
        <v>844</v>
      </c>
      <c r="G774" s="548"/>
      <c r="H774" s="546">
        <v>2251000</v>
      </c>
    </row>
    <row r="775" spans="1:8" s="404" customFormat="1">
      <c r="A775" s="2245"/>
      <c r="B775" s="2265"/>
      <c r="C775" s="2223" t="s">
        <v>837</v>
      </c>
      <c r="D775" s="2224"/>
      <c r="E775" s="2225"/>
      <c r="F775" s="557" t="s">
        <v>845</v>
      </c>
      <c r="G775" s="548"/>
      <c r="H775" s="546">
        <v>9179000</v>
      </c>
    </row>
    <row r="776" spans="1:8" s="404" customFormat="1">
      <c r="A776" s="2245"/>
      <c r="B776" s="2265"/>
      <c r="C776" s="2223" t="s">
        <v>846</v>
      </c>
      <c r="D776" s="2224"/>
      <c r="E776" s="2225"/>
      <c r="F776" s="557" t="s">
        <v>847</v>
      </c>
      <c r="G776" s="548"/>
      <c r="H776" s="546">
        <v>18794000</v>
      </c>
    </row>
    <row r="777" spans="1:8" s="404" customFormat="1">
      <c r="A777" s="2245"/>
      <c r="B777" s="2265"/>
      <c r="C777" s="2223" t="s">
        <v>848</v>
      </c>
      <c r="D777" s="2224"/>
      <c r="E777" s="2225"/>
      <c r="F777" s="557" t="s">
        <v>849</v>
      </c>
      <c r="G777" s="548"/>
      <c r="H777" s="546">
        <v>4891000</v>
      </c>
    </row>
    <row r="778" spans="1:8" s="404" customFormat="1">
      <c r="A778" s="2245"/>
      <c r="B778" s="2265"/>
      <c r="C778" s="2223" t="s">
        <v>850</v>
      </c>
      <c r="D778" s="2224"/>
      <c r="E778" s="2225"/>
      <c r="F778" s="557" t="s">
        <v>851</v>
      </c>
      <c r="G778" s="548"/>
      <c r="H778" s="546">
        <v>2665000</v>
      </c>
    </row>
    <row r="779" spans="1:8" s="404" customFormat="1">
      <c r="A779" s="2245"/>
      <c r="B779" s="2265"/>
      <c r="C779" s="2223" t="s">
        <v>852</v>
      </c>
      <c r="D779" s="2224"/>
      <c r="E779" s="2225"/>
      <c r="F779" s="557" t="s">
        <v>853</v>
      </c>
      <c r="G779" s="548"/>
      <c r="H779" s="546">
        <v>4116000</v>
      </c>
    </row>
    <row r="780" spans="1:8" s="404" customFormat="1">
      <c r="A780" s="2245"/>
      <c r="B780" s="2265"/>
      <c r="C780" s="2223" t="s">
        <v>854</v>
      </c>
      <c r="D780" s="2224"/>
      <c r="E780" s="2225"/>
      <c r="F780" s="557" t="s">
        <v>855</v>
      </c>
      <c r="G780" s="548"/>
      <c r="H780" s="546">
        <v>680000</v>
      </c>
    </row>
    <row r="781" spans="1:8" s="404" customFormat="1">
      <c r="A781" s="2245"/>
      <c r="B781" s="2265"/>
      <c r="C781" s="2223" t="s">
        <v>856</v>
      </c>
      <c r="D781" s="2224"/>
      <c r="E781" s="2225"/>
      <c r="F781" s="557" t="s">
        <v>857</v>
      </c>
      <c r="G781" s="548"/>
      <c r="H781" s="546">
        <v>1141000</v>
      </c>
    </row>
    <row r="782" spans="1:8" s="404" customFormat="1">
      <c r="A782" s="2245"/>
      <c r="B782" s="2265"/>
      <c r="C782" s="2223" t="s">
        <v>856</v>
      </c>
      <c r="D782" s="2224"/>
      <c r="E782" s="2225"/>
      <c r="F782" s="557" t="s">
        <v>858</v>
      </c>
      <c r="G782" s="548"/>
      <c r="H782" s="546">
        <v>1316000</v>
      </c>
    </row>
    <row r="783" spans="1:8" s="404" customFormat="1">
      <c r="A783" s="2245"/>
      <c r="B783" s="2265"/>
      <c r="C783" s="2223" t="s">
        <v>856</v>
      </c>
      <c r="D783" s="2224"/>
      <c r="E783" s="2225"/>
      <c r="F783" s="1960" t="s">
        <v>859</v>
      </c>
      <c r="G783" s="548"/>
      <c r="H783" s="546">
        <v>3019000</v>
      </c>
    </row>
    <row r="784" spans="1:8" s="404" customFormat="1">
      <c r="A784" s="2245"/>
      <c r="B784" s="2265"/>
      <c r="C784" s="2223" t="s">
        <v>854</v>
      </c>
      <c r="D784" s="2224"/>
      <c r="E784" s="2225"/>
      <c r="F784" s="1960" t="s">
        <v>860</v>
      </c>
      <c r="G784" s="548"/>
      <c r="H784" s="546">
        <v>3934000</v>
      </c>
    </row>
    <row r="785" spans="1:8" s="404" customFormat="1">
      <c r="A785" s="2245"/>
      <c r="B785" s="2265"/>
      <c r="C785" s="2223" t="s">
        <v>854</v>
      </c>
      <c r="D785" s="2224"/>
      <c r="E785" s="2225"/>
      <c r="F785" s="557" t="s">
        <v>861</v>
      </c>
      <c r="G785" s="548"/>
      <c r="H785" s="546">
        <v>1609000</v>
      </c>
    </row>
    <row r="786" spans="1:8" s="404" customFormat="1">
      <c r="A786" s="2245"/>
      <c r="B786" s="2265"/>
      <c r="C786" s="2223" t="s">
        <v>1905</v>
      </c>
      <c r="D786" s="2224"/>
      <c r="E786" s="2225"/>
      <c r="F786" s="557" t="s">
        <v>863</v>
      </c>
      <c r="G786" s="548"/>
      <c r="H786" s="546">
        <v>6189000</v>
      </c>
    </row>
    <row r="787" spans="1:8" s="404" customFormat="1">
      <c r="A787" s="2245"/>
      <c r="B787" s="2265"/>
      <c r="C787" s="2223" t="s">
        <v>850</v>
      </c>
      <c r="D787" s="2224"/>
      <c r="E787" s="2225"/>
      <c r="F787" s="557" t="s">
        <v>864</v>
      </c>
      <c r="G787" s="548"/>
      <c r="H787" s="546">
        <v>2426000</v>
      </c>
    </row>
    <row r="788" spans="1:8" s="404" customFormat="1">
      <c r="A788" s="2245"/>
      <c r="B788" s="2265"/>
      <c r="C788" s="2223" t="s">
        <v>1906</v>
      </c>
      <c r="D788" s="2224"/>
      <c r="E788" s="2225"/>
      <c r="F788" s="557" t="s">
        <v>865</v>
      </c>
      <c r="G788" s="548"/>
      <c r="H788" s="546">
        <v>16453000</v>
      </c>
    </row>
    <row r="789" spans="1:8" s="404" customFormat="1">
      <c r="A789" s="2245"/>
      <c r="B789" s="2265"/>
      <c r="C789" s="2223" t="s">
        <v>1906</v>
      </c>
      <c r="D789" s="2224"/>
      <c r="E789" s="2225"/>
      <c r="F789" s="557" t="s">
        <v>866</v>
      </c>
      <c r="G789" s="548"/>
      <c r="H789" s="546">
        <v>20439000</v>
      </c>
    </row>
    <row r="790" spans="1:8" s="404" customFormat="1">
      <c r="A790" s="2245"/>
      <c r="B790" s="2265"/>
      <c r="C790" s="2223" t="s">
        <v>869</v>
      </c>
      <c r="D790" s="2224"/>
      <c r="E790" s="2225"/>
      <c r="F790" s="557" t="s">
        <v>870</v>
      </c>
      <c r="G790" s="548"/>
      <c r="H790" s="546">
        <v>4399000</v>
      </c>
    </row>
    <row r="791" spans="1:8" s="404" customFormat="1">
      <c r="A791" s="2245"/>
      <c r="B791" s="2265"/>
      <c r="C791" s="2223" t="s">
        <v>1898</v>
      </c>
      <c r="D791" s="2224"/>
      <c r="E791" s="2225"/>
      <c r="F791" s="557" t="s">
        <v>871</v>
      </c>
      <c r="G791" s="548"/>
      <c r="H791" s="546">
        <v>3629000</v>
      </c>
    </row>
    <row r="792" spans="1:8" s="404" customFormat="1">
      <c r="A792" s="2245"/>
      <c r="B792" s="2265"/>
      <c r="C792" s="2223" t="s">
        <v>833</v>
      </c>
      <c r="D792" s="2224"/>
      <c r="E792" s="2225"/>
      <c r="F792" s="557" t="s">
        <v>872</v>
      </c>
      <c r="G792" s="548"/>
      <c r="H792" s="546">
        <v>8448000</v>
      </c>
    </row>
    <row r="793" spans="1:8" s="404" customFormat="1">
      <c r="A793" s="2245"/>
      <c r="B793" s="2265"/>
      <c r="C793" s="2223" t="s">
        <v>1908</v>
      </c>
      <c r="D793" s="2224"/>
      <c r="E793" s="2225"/>
      <c r="F793" s="1960" t="s">
        <v>873</v>
      </c>
      <c r="G793" s="548"/>
      <c r="H793" s="546">
        <v>7437000</v>
      </c>
    </row>
    <row r="794" spans="1:8" s="404" customFormat="1">
      <c r="A794" s="2245"/>
      <c r="B794" s="2265"/>
      <c r="C794" s="2223" t="s">
        <v>850</v>
      </c>
      <c r="D794" s="2224"/>
      <c r="E794" s="2225"/>
      <c r="F794" s="557" t="s">
        <v>874</v>
      </c>
      <c r="G794" s="548"/>
      <c r="H794" s="546">
        <v>3837000</v>
      </c>
    </row>
    <row r="795" spans="1:8" s="404" customFormat="1">
      <c r="A795" s="2245"/>
      <c r="B795" s="2265"/>
      <c r="C795" s="2223" t="s">
        <v>875</v>
      </c>
      <c r="D795" s="2224"/>
      <c r="E795" s="2225"/>
      <c r="F795" s="557" t="s">
        <v>876</v>
      </c>
      <c r="G795" s="548"/>
      <c r="H795" s="546">
        <v>5322000</v>
      </c>
    </row>
    <row r="796" spans="1:8" s="404" customFormat="1">
      <c r="A796" s="2245"/>
      <c r="B796" s="2265"/>
      <c r="C796" s="2223" t="s">
        <v>877</v>
      </c>
      <c r="D796" s="2224"/>
      <c r="E796" s="2225"/>
      <c r="F796" s="557" t="s">
        <v>878</v>
      </c>
      <c r="G796" s="548"/>
      <c r="H796" s="546">
        <v>2376000</v>
      </c>
    </row>
    <row r="797" spans="1:8" s="404" customFormat="1">
      <c r="A797" s="2245"/>
      <c r="B797" s="2265"/>
      <c r="C797" s="2223" t="s">
        <v>877</v>
      </c>
      <c r="D797" s="2224"/>
      <c r="E797" s="2225"/>
      <c r="F797" s="557" t="s">
        <v>879</v>
      </c>
      <c r="G797" s="548"/>
      <c r="H797" s="546">
        <v>1515000</v>
      </c>
    </row>
    <row r="798" spans="1:8" s="404" customFormat="1">
      <c r="A798" s="2245"/>
      <c r="B798" s="2265"/>
      <c r="C798" s="2223" t="s">
        <v>880</v>
      </c>
      <c r="D798" s="2224"/>
      <c r="E798" s="2225"/>
      <c r="F798" s="557" t="s">
        <v>881</v>
      </c>
      <c r="G798" s="548"/>
      <c r="H798" s="546">
        <v>8148000</v>
      </c>
    </row>
    <row r="799" spans="1:8" s="404" customFormat="1">
      <c r="A799" s="2245"/>
      <c r="B799" s="2265"/>
      <c r="C799" s="2223" t="s">
        <v>1892</v>
      </c>
      <c r="D799" s="2224"/>
      <c r="E799" s="2225"/>
      <c r="F799" s="557" t="s">
        <v>882</v>
      </c>
      <c r="G799" s="548"/>
      <c r="H799" s="546">
        <v>3681000</v>
      </c>
    </row>
    <row r="800" spans="1:8" s="404" customFormat="1">
      <c r="A800" s="2245"/>
      <c r="B800" s="2265"/>
      <c r="C800" s="2223" t="s">
        <v>835</v>
      </c>
      <c r="D800" s="2224"/>
      <c r="E800" s="2225"/>
      <c r="F800" s="557" t="s">
        <v>883</v>
      </c>
      <c r="G800" s="548"/>
      <c r="H800" s="546">
        <v>4937000</v>
      </c>
    </row>
    <row r="801" spans="1:8" s="404" customFormat="1">
      <c r="A801" s="2245"/>
      <c r="B801" s="2265"/>
      <c r="C801" s="2223" t="s">
        <v>1892</v>
      </c>
      <c r="D801" s="2224"/>
      <c r="E801" s="2225"/>
      <c r="F801" s="1960" t="s">
        <v>884</v>
      </c>
      <c r="G801" s="548"/>
      <c r="H801" s="546">
        <v>1569000</v>
      </c>
    </row>
    <row r="802" spans="1:8" s="404" customFormat="1">
      <c r="A802" s="2245"/>
      <c r="B802" s="2265"/>
      <c r="C802" s="2223" t="s">
        <v>885</v>
      </c>
      <c r="D802" s="2224"/>
      <c r="E802" s="2225"/>
      <c r="F802" s="557" t="s">
        <v>886</v>
      </c>
      <c r="G802" s="548"/>
      <c r="H802" s="546">
        <v>6816000</v>
      </c>
    </row>
    <row r="803" spans="1:8" s="404" customFormat="1">
      <c r="A803" s="2245"/>
      <c r="B803" s="2265"/>
      <c r="C803" s="2223" t="s">
        <v>887</v>
      </c>
      <c r="D803" s="2224"/>
      <c r="E803" s="2225"/>
      <c r="F803" s="557" t="s">
        <v>888</v>
      </c>
      <c r="G803" s="548"/>
      <c r="H803" s="546">
        <v>4758000</v>
      </c>
    </row>
    <row r="804" spans="1:8" s="404" customFormat="1">
      <c r="A804" s="2245"/>
      <c r="B804" s="2265"/>
      <c r="C804" s="2223" t="s">
        <v>889</v>
      </c>
      <c r="D804" s="2224"/>
      <c r="E804" s="2225"/>
      <c r="F804" s="557" t="s">
        <v>890</v>
      </c>
      <c r="G804" s="548"/>
      <c r="H804" s="546">
        <v>24717000</v>
      </c>
    </row>
    <row r="805" spans="1:8" s="404" customFormat="1">
      <c r="A805" s="2245"/>
      <c r="B805" s="2265"/>
      <c r="C805" s="2223" t="s">
        <v>891</v>
      </c>
      <c r="D805" s="2224"/>
      <c r="E805" s="2225"/>
      <c r="F805" s="557" t="s">
        <v>892</v>
      </c>
      <c r="G805" s="548"/>
      <c r="H805" s="546">
        <v>8364000</v>
      </c>
    </row>
    <row r="806" spans="1:8" s="404" customFormat="1">
      <c r="A806" s="2245"/>
      <c r="B806" s="2265"/>
      <c r="C806" s="2223" t="s">
        <v>891</v>
      </c>
      <c r="D806" s="2224"/>
      <c r="E806" s="2225"/>
      <c r="F806" s="557" t="s">
        <v>893</v>
      </c>
      <c r="G806" s="548"/>
      <c r="H806" s="546">
        <v>6522000</v>
      </c>
    </row>
    <row r="807" spans="1:8" s="404" customFormat="1">
      <c r="A807" s="2245"/>
      <c r="B807" s="2265"/>
      <c r="C807" s="2223" t="s">
        <v>894</v>
      </c>
      <c r="D807" s="2224"/>
      <c r="E807" s="2225"/>
      <c r="F807" s="1979">
        <v>15462</v>
      </c>
      <c r="G807" s="548"/>
      <c r="H807" s="546">
        <v>1909000</v>
      </c>
    </row>
    <row r="808" spans="1:8" s="404" customFormat="1">
      <c r="A808" s="2245"/>
      <c r="B808" s="2265"/>
      <c r="C808" s="2223" t="s">
        <v>835</v>
      </c>
      <c r="D808" s="2224"/>
      <c r="E808" s="2225"/>
      <c r="F808" s="557" t="s">
        <v>896</v>
      </c>
      <c r="G808" s="544"/>
      <c r="H808" s="546">
        <v>334000</v>
      </c>
    </row>
    <row r="809" spans="1:8" s="404" customFormat="1">
      <c r="A809" s="2245"/>
      <c r="B809" s="2265"/>
      <c r="C809" s="2223" t="s">
        <v>897</v>
      </c>
      <c r="D809" s="2224"/>
      <c r="E809" s="2225"/>
      <c r="F809" s="557" t="s">
        <v>898</v>
      </c>
      <c r="G809" s="544"/>
      <c r="H809" s="546">
        <v>2718000</v>
      </c>
    </row>
    <row r="810" spans="1:8" s="404" customFormat="1">
      <c r="A810" s="2245"/>
      <c r="B810" s="2265"/>
      <c r="C810" s="2223" t="s">
        <v>897</v>
      </c>
      <c r="D810" s="2224"/>
      <c r="E810" s="2225"/>
      <c r="F810" s="1960" t="s">
        <v>772</v>
      </c>
      <c r="G810" s="544"/>
      <c r="H810" s="546">
        <v>1473000</v>
      </c>
    </row>
    <row r="811" spans="1:8" s="404" customFormat="1">
      <c r="A811" s="2245"/>
      <c r="B811" s="2265"/>
      <c r="C811" s="2223" t="s">
        <v>899</v>
      </c>
      <c r="D811" s="2224"/>
      <c r="E811" s="2225"/>
      <c r="F811" s="1960" t="s">
        <v>900</v>
      </c>
      <c r="G811" s="544"/>
      <c r="H811" s="546">
        <v>35926500</v>
      </c>
    </row>
    <row r="812" spans="1:8" s="404" customFormat="1">
      <c r="A812" s="2245"/>
      <c r="B812" s="2265"/>
      <c r="C812" s="2223" t="s">
        <v>901</v>
      </c>
      <c r="D812" s="2224"/>
      <c r="E812" s="2225"/>
      <c r="F812" s="557" t="s">
        <v>902</v>
      </c>
      <c r="G812" s="1980"/>
      <c r="H812" s="546">
        <v>4008000</v>
      </c>
    </row>
    <row r="813" spans="1:8" s="404" customFormat="1">
      <c r="A813" s="2245"/>
      <c r="B813" s="2265"/>
      <c r="C813" s="2223" t="s">
        <v>903</v>
      </c>
      <c r="D813" s="2224"/>
      <c r="E813" s="2225"/>
      <c r="F813" s="557" t="s">
        <v>904</v>
      </c>
      <c r="G813" s="548"/>
      <c r="H813" s="546">
        <v>806000</v>
      </c>
    </row>
    <row r="814" spans="1:8" s="404" customFormat="1">
      <c r="A814" s="2245"/>
      <c r="B814" s="2265"/>
      <c r="C814" s="2223" t="s">
        <v>835</v>
      </c>
      <c r="D814" s="2224"/>
      <c r="E814" s="2225"/>
      <c r="F814" s="557" t="s">
        <v>905</v>
      </c>
      <c r="G814" s="548"/>
      <c r="H814" s="546">
        <v>51000</v>
      </c>
    </row>
    <row r="815" spans="1:8" s="404" customFormat="1">
      <c r="A815" s="2245"/>
      <c r="B815" s="2265"/>
      <c r="C815" s="2223" t="s">
        <v>906</v>
      </c>
      <c r="D815" s="2224"/>
      <c r="E815" s="2225"/>
      <c r="F815" s="557" t="s">
        <v>907</v>
      </c>
      <c r="G815" s="548"/>
      <c r="H815" s="546">
        <v>2348000</v>
      </c>
    </row>
    <row r="816" spans="1:8" s="404" customFormat="1">
      <c r="A816" s="2245"/>
      <c r="B816" s="2265"/>
      <c r="C816" s="2223" t="s">
        <v>906</v>
      </c>
      <c r="D816" s="2224"/>
      <c r="E816" s="2225"/>
      <c r="F816" s="557" t="s">
        <v>908</v>
      </c>
      <c r="G816" s="548"/>
      <c r="H816" s="546">
        <v>5298000</v>
      </c>
    </row>
    <row r="817" spans="1:8" s="404" customFormat="1">
      <c r="A817" s="2245"/>
      <c r="B817" s="2265"/>
      <c r="C817" s="2223" t="s">
        <v>1876</v>
      </c>
      <c r="D817" s="2224"/>
      <c r="E817" s="2225"/>
      <c r="F817" s="557" t="s">
        <v>909</v>
      </c>
      <c r="G817" s="548"/>
      <c r="H817" s="546">
        <v>1389000</v>
      </c>
    </row>
    <row r="818" spans="1:8" s="404" customFormat="1">
      <c r="A818" s="2245"/>
      <c r="B818" s="2265"/>
      <c r="C818" s="2223" t="s">
        <v>1939</v>
      </c>
      <c r="D818" s="2224"/>
      <c r="E818" s="2225"/>
      <c r="F818" s="557" t="s">
        <v>910</v>
      </c>
      <c r="G818" s="548"/>
      <c r="H818" s="546">
        <v>1253000</v>
      </c>
    </row>
    <row r="819" spans="1:8" s="404" customFormat="1">
      <c r="A819" s="2245"/>
      <c r="B819" s="2265"/>
      <c r="C819" s="2223" t="s">
        <v>911</v>
      </c>
      <c r="D819" s="2224"/>
      <c r="E819" s="2225"/>
      <c r="F819" s="557" t="s">
        <v>912</v>
      </c>
      <c r="G819" s="1981"/>
      <c r="H819" s="546">
        <v>1278000</v>
      </c>
    </row>
    <row r="820" spans="1:8" s="404" customFormat="1">
      <c r="A820" s="2245"/>
      <c r="B820" s="2265"/>
      <c r="C820" s="2223" t="s">
        <v>913</v>
      </c>
      <c r="D820" s="2224"/>
      <c r="E820" s="2225"/>
      <c r="F820" s="557" t="s">
        <v>914</v>
      </c>
      <c r="G820" s="548"/>
      <c r="H820" s="546">
        <v>1363000</v>
      </c>
    </row>
    <row r="821" spans="1:8" s="404" customFormat="1">
      <c r="A821" s="2245"/>
      <c r="B821" s="2265"/>
      <c r="C821" s="2223" t="s">
        <v>835</v>
      </c>
      <c r="D821" s="2224"/>
      <c r="E821" s="2225"/>
      <c r="F821" s="557" t="s">
        <v>915</v>
      </c>
      <c r="G821" s="548"/>
      <c r="H821" s="546">
        <v>548000</v>
      </c>
    </row>
    <row r="822" spans="1:8" s="404" customFormat="1">
      <c r="A822" s="2245"/>
      <c r="B822" s="2265"/>
      <c r="C822" s="2223" t="s">
        <v>916</v>
      </c>
      <c r="D822" s="2224"/>
      <c r="E822" s="2225"/>
      <c r="F822" s="557" t="s">
        <v>917</v>
      </c>
      <c r="G822" s="548"/>
      <c r="H822" s="546">
        <v>3103000</v>
      </c>
    </row>
    <row r="823" spans="1:8" s="404" customFormat="1">
      <c r="A823" s="2245"/>
      <c r="B823" s="2265"/>
      <c r="C823" s="2223" t="s">
        <v>918</v>
      </c>
      <c r="D823" s="2224"/>
      <c r="E823" s="2225"/>
      <c r="F823" s="1960" t="s">
        <v>919</v>
      </c>
      <c r="G823" s="548"/>
      <c r="H823" s="546">
        <v>1800000</v>
      </c>
    </row>
    <row r="824" spans="1:8" s="404" customFormat="1">
      <c r="A824" s="2245"/>
      <c r="B824" s="2265"/>
      <c r="C824" s="2223" t="s">
        <v>1873</v>
      </c>
      <c r="D824" s="2224"/>
      <c r="E824" s="2225"/>
      <c r="F824" s="557">
        <v>1200</v>
      </c>
      <c r="G824" s="548"/>
      <c r="H824" s="546">
        <v>11894000</v>
      </c>
    </row>
    <row r="825" spans="1:8" s="404" customFormat="1">
      <c r="A825" s="2245"/>
      <c r="B825" s="2265"/>
      <c r="C825" s="2223" t="s">
        <v>920</v>
      </c>
      <c r="D825" s="2224"/>
      <c r="E825" s="2225"/>
      <c r="F825" s="557">
        <v>1250</v>
      </c>
      <c r="G825" s="548"/>
      <c r="H825" s="546">
        <v>3889000</v>
      </c>
    </row>
    <row r="826" spans="1:8" s="404" customFormat="1">
      <c r="A826" s="2245"/>
      <c r="B826" s="2265"/>
      <c r="C826" s="2223" t="s">
        <v>921</v>
      </c>
      <c r="D826" s="2224"/>
      <c r="E826" s="2225"/>
      <c r="F826" s="557" t="s">
        <v>922</v>
      </c>
      <c r="G826" s="548"/>
      <c r="H826" s="546">
        <v>5079000</v>
      </c>
    </row>
    <row r="827" spans="1:8" s="404" customFormat="1">
      <c r="A827" s="2245"/>
      <c r="B827" s="2265"/>
      <c r="C827" s="2223" t="s">
        <v>923</v>
      </c>
      <c r="D827" s="2224"/>
      <c r="E827" s="2225"/>
      <c r="F827" s="557" t="s">
        <v>924</v>
      </c>
      <c r="G827" s="548"/>
      <c r="H827" s="546">
        <v>1450000</v>
      </c>
    </row>
    <row r="828" spans="1:8" s="404" customFormat="1">
      <c r="A828" s="2245"/>
      <c r="B828" s="2265"/>
      <c r="C828" s="2223" t="s">
        <v>925</v>
      </c>
      <c r="D828" s="2224"/>
      <c r="E828" s="2225"/>
      <c r="F828" s="557" t="s">
        <v>926</v>
      </c>
      <c r="G828" s="548"/>
      <c r="H828" s="546">
        <v>5481000</v>
      </c>
    </row>
    <row r="829" spans="1:8" s="404" customFormat="1">
      <c r="A829" s="2245"/>
      <c r="B829" s="2265"/>
      <c r="C829" s="2223" t="s">
        <v>835</v>
      </c>
      <c r="D829" s="2224"/>
      <c r="E829" s="2225"/>
      <c r="F829" s="557" t="s">
        <v>927</v>
      </c>
      <c r="G829" s="548"/>
      <c r="H829" s="546">
        <v>3839000</v>
      </c>
    </row>
    <row r="830" spans="1:8" s="404" customFormat="1">
      <c r="A830" s="2245"/>
      <c r="B830" s="2265"/>
      <c r="C830" s="2223" t="s">
        <v>928</v>
      </c>
      <c r="D830" s="2224"/>
      <c r="E830" s="2225"/>
      <c r="F830" s="557" t="s">
        <v>929</v>
      </c>
      <c r="G830" s="548"/>
      <c r="H830" s="561">
        <v>2044000</v>
      </c>
    </row>
    <row r="831" spans="1:8" s="404" customFormat="1">
      <c r="A831" s="2245"/>
      <c r="B831" s="2265"/>
      <c r="C831" s="2223" t="s">
        <v>839</v>
      </c>
      <c r="D831" s="2224"/>
      <c r="E831" s="2225"/>
      <c r="F831" s="1960" t="s">
        <v>930</v>
      </c>
      <c r="G831" s="548"/>
      <c r="H831" s="546">
        <v>1872000</v>
      </c>
    </row>
    <row r="832" spans="1:8" s="404" customFormat="1">
      <c r="A832" s="2245"/>
      <c r="B832" s="2265"/>
      <c r="C832" s="2223" t="s">
        <v>931</v>
      </c>
      <c r="D832" s="2224"/>
      <c r="E832" s="2225"/>
      <c r="F832" s="557" t="s">
        <v>932</v>
      </c>
      <c r="G832" s="548"/>
      <c r="H832" s="546">
        <v>2993000</v>
      </c>
    </row>
    <row r="833" spans="1:8" s="404" customFormat="1">
      <c r="A833" s="2245"/>
      <c r="B833" s="2265"/>
      <c r="C833" s="2223" t="s">
        <v>933</v>
      </c>
      <c r="D833" s="2224"/>
      <c r="E833" s="2225"/>
      <c r="F833" s="557" t="s">
        <v>934</v>
      </c>
      <c r="G833" s="548"/>
      <c r="H833" s="546">
        <v>1782000</v>
      </c>
    </row>
    <row r="834" spans="1:8" s="404" customFormat="1">
      <c r="A834" s="2245"/>
      <c r="B834" s="2265"/>
      <c r="C834" s="2223" t="s">
        <v>935</v>
      </c>
      <c r="D834" s="2224"/>
      <c r="E834" s="2225"/>
      <c r="F834" s="557" t="s">
        <v>936</v>
      </c>
      <c r="G834" s="549"/>
      <c r="H834" s="546">
        <v>6272000</v>
      </c>
    </row>
    <row r="835" spans="1:8" s="404" customFormat="1">
      <c r="A835" s="2245"/>
      <c r="B835" s="2265"/>
      <c r="C835" s="2223" t="s">
        <v>937</v>
      </c>
      <c r="D835" s="2224"/>
      <c r="E835" s="2225"/>
      <c r="F835" s="557">
        <v>1439</v>
      </c>
      <c r="G835" s="548"/>
      <c r="H835" s="546">
        <v>444000</v>
      </c>
    </row>
    <row r="836" spans="1:8" s="404" customFormat="1">
      <c r="A836" s="2245"/>
      <c r="B836" s="2265"/>
      <c r="C836" s="2223" t="s">
        <v>938</v>
      </c>
      <c r="D836" s="2224"/>
      <c r="E836" s="2225"/>
      <c r="F836" s="557" t="s">
        <v>939</v>
      </c>
      <c r="G836" s="548"/>
      <c r="H836" s="546">
        <v>14619000</v>
      </c>
    </row>
    <row r="837" spans="1:8" s="404" customFormat="1">
      <c r="A837" s="2245"/>
      <c r="B837" s="2265"/>
      <c r="C837" s="2223" t="s">
        <v>940</v>
      </c>
      <c r="D837" s="2224"/>
      <c r="E837" s="2225"/>
      <c r="F837" s="557">
        <v>1452</v>
      </c>
      <c r="G837" s="551"/>
      <c r="H837" s="546">
        <v>1929000</v>
      </c>
    </row>
    <row r="838" spans="1:8" s="404" customFormat="1">
      <c r="A838" s="2245"/>
      <c r="B838" s="2265"/>
      <c r="C838" s="2223" t="s">
        <v>941</v>
      </c>
      <c r="D838" s="2224"/>
      <c r="E838" s="2225"/>
      <c r="F838" s="557">
        <v>1455</v>
      </c>
      <c r="G838" s="547"/>
      <c r="H838" s="546">
        <v>3331000</v>
      </c>
    </row>
    <row r="839" spans="1:8" s="404" customFormat="1">
      <c r="A839" s="2245"/>
      <c r="B839" s="2265"/>
      <c r="C839" s="2223" t="s">
        <v>942</v>
      </c>
      <c r="D839" s="2224"/>
      <c r="E839" s="2225"/>
      <c r="F839" s="557">
        <v>1477</v>
      </c>
      <c r="G839" s="547"/>
      <c r="H839" s="546">
        <v>2176000</v>
      </c>
    </row>
    <row r="840" spans="1:8" s="404" customFormat="1">
      <c r="A840" s="2245"/>
      <c r="B840" s="2265"/>
      <c r="C840" s="2223" t="s">
        <v>835</v>
      </c>
      <c r="D840" s="2224"/>
      <c r="E840" s="2225"/>
      <c r="F840" s="557" t="s">
        <v>943</v>
      </c>
      <c r="G840" s="547"/>
      <c r="H840" s="546">
        <v>12752000</v>
      </c>
    </row>
    <row r="841" spans="1:8" s="404" customFormat="1">
      <c r="A841" s="2245"/>
      <c r="B841" s="2265"/>
      <c r="C841" s="2223" t="s">
        <v>944</v>
      </c>
      <c r="D841" s="2224"/>
      <c r="E841" s="2225"/>
      <c r="F841" s="557" t="s">
        <v>945</v>
      </c>
      <c r="G841" s="547"/>
      <c r="H841" s="546">
        <v>2298000</v>
      </c>
    </row>
    <row r="842" spans="1:8" s="404" customFormat="1">
      <c r="A842" s="2245"/>
      <c r="B842" s="2265"/>
      <c r="C842" s="2223" t="s">
        <v>1880</v>
      </c>
      <c r="D842" s="2224"/>
      <c r="E842" s="2225"/>
      <c r="F842" s="557" t="s">
        <v>946</v>
      </c>
      <c r="G842" s="547"/>
      <c r="H842" s="546">
        <v>2217000</v>
      </c>
    </row>
    <row r="843" spans="1:8" s="404" customFormat="1">
      <c r="A843" s="2245"/>
      <c r="B843" s="2265"/>
      <c r="C843" s="2223" t="s">
        <v>906</v>
      </c>
      <c r="D843" s="2224"/>
      <c r="E843" s="2225"/>
      <c r="F843" s="1960" t="s">
        <v>947</v>
      </c>
      <c r="G843" s="548"/>
      <c r="H843" s="546">
        <v>810000</v>
      </c>
    </row>
    <row r="844" spans="1:8" s="404" customFormat="1">
      <c r="A844" s="2245"/>
      <c r="B844" s="2265"/>
      <c r="C844" s="2223" t="s">
        <v>948</v>
      </c>
      <c r="D844" s="2224"/>
      <c r="E844" s="2225"/>
      <c r="F844" s="1960" t="s">
        <v>949</v>
      </c>
      <c r="G844" s="1937"/>
      <c r="H844" s="546">
        <v>7756160</v>
      </c>
    </row>
    <row r="845" spans="1:8" s="404" customFormat="1">
      <c r="A845" s="2245"/>
      <c r="B845" s="2265"/>
      <c r="C845" s="2223" t="s">
        <v>950</v>
      </c>
      <c r="D845" s="2224"/>
      <c r="E845" s="2225"/>
      <c r="F845" s="557" t="s">
        <v>951</v>
      </c>
      <c r="G845" s="1982"/>
      <c r="H845" s="546">
        <v>955000</v>
      </c>
    </row>
    <row r="846" spans="1:8" s="404" customFormat="1">
      <c r="A846" s="2245"/>
      <c r="B846" s="2265"/>
      <c r="C846" s="2223" t="s">
        <v>952</v>
      </c>
      <c r="D846" s="2224"/>
      <c r="E846" s="2225"/>
      <c r="F846" s="557" t="s">
        <v>734</v>
      </c>
      <c r="G846" s="1937"/>
      <c r="H846" s="546">
        <v>1820000</v>
      </c>
    </row>
    <row r="847" spans="1:8" s="404" customFormat="1">
      <c r="A847" s="2245"/>
      <c r="B847" s="2265"/>
      <c r="C847" s="2223" t="s">
        <v>835</v>
      </c>
      <c r="D847" s="2224"/>
      <c r="E847" s="2225"/>
      <c r="F847" s="557" t="s">
        <v>953</v>
      </c>
      <c r="G847" s="1983"/>
      <c r="H847" s="546">
        <v>4299000</v>
      </c>
    </row>
    <row r="848" spans="1:8" s="404" customFormat="1">
      <c r="A848" s="2245"/>
      <c r="B848" s="2265"/>
      <c r="C848" s="2223" t="s">
        <v>954</v>
      </c>
      <c r="D848" s="2224"/>
      <c r="E848" s="2225"/>
      <c r="F848" s="557" t="s">
        <v>955</v>
      </c>
      <c r="G848" s="548"/>
      <c r="H848" s="546">
        <v>1471000</v>
      </c>
    </row>
    <row r="849" spans="1:8" s="404" customFormat="1">
      <c r="A849" s="2245"/>
      <c r="B849" s="2265"/>
      <c r="C849" s="2223" t="s">
        <v>954</v>
      </c>
      <c r="D849" s="2224"/>
      <c r="E849" s="2225"/>
      <c r="F849" s="557" t="s">
        <v>956</v>
      </c>
      <c r="G849" s="548"/>
      <c r="H849" s="546">
        <v>841000</v>
      </c>
    </row>
    <row r="850" spans="1:8" s="404" customFormat="1">
      <c r="A850" s="2245"/>
      <c r="B850" s="2265"/>
      <c r="C850" s="2223" t="s">
        <v>954</v>
      </c>
      <c r="D850" s="2224"/>
      <c r="E850" s="2225"/>
      <c r="F850" s="557" t="s">
        <v>957</v>
      </c>
      <c r="G850" s="548"/>
      <c r="H850" s="546">
        <v>809000</v>
      </c>
    </row>
    <row r="851" spans="1:8" s="404" customFormat="1">
      <c r="A851" s="2245"/>
      <c r="B851" s="2265"/>
      <c r="C851" s="2223" t="s">
        <v>954</v>
      </c>
      <c r="D851" s="2224"/>
      <c r="E851" s="2225"/>
      <c r="F851" s="557" t="s">
        <v>958</v>
      </c>
      <c r="G851" s="548"/>
      <c r="H851" s="546">
        <v>701000</v>
      </c>
    </row>
    <row r="852" spans="1:8" s="404" customFormat="1">
      <c r="A852" s="2245"/>
      <c r="B852" s="2265"/>
      <c r="C852" s="2223" t="s">
        <v>894</v>
      </c>
      <c r="D852" s="2224"/>
      <c r="E852" s="2225"/>
      <c r="F852" s="557" t="s">
        <v>959</v>
      </c>
      <c r="G852" s="548"/>
      <c r="H852" s="546">
        <v>2233000</v>
      </c>
    </row>
    <row r="853" spans="1:8" s="404" customFormat="1">
      <c r="A853" s="2245"/>
      <c r="B853" s="2265"/>
      <c r="C853" s="2223" t="s">
        <v>894</v>
      </c>
      <c r="D853" s="2224"/>
      <c r="E853" s="2225"/>
      <c r="F853" s="557" t="s">
        <v>960</v>
      </c>
      <c r="G853" s="548"/>
      <c r="H853" s="546">
        <v>3544000</v>
      </c>
    </row>
    <row r="854" spans="1:8" s="404" customFormat="1">
      <c r="A854" s="2245"/>
      <c r="B854" s="2265"/>
      <c r="C854" s="2223" t="s">
        <v>835</v>
      </c>
      <c r="D854" s="2224"/>
      <c r="E854" s="2225"/>
      <c r="F854" s="557" t="s">
        <v>961</v>
      </c>
      <c r="G854" s="548"/>
      <c r="H854" s="546">
        <v>717000</v>
      </c>
    </row>
    <row r="855" spans="1:8" s="404" customFormat="1">
      <c r="A855" s="2245"/>
      <c r="B855" s="2265"/>
      <c r="C855" s="2223" t="s">
        <v>835</v>
      </c>
      <c r="D855" s="2224"/>
      <c r="E855" s="2225"/>
      <c r="F855" s="557" t="s">
        <v>962</v>
      </c>
      <c r="G855" s="548"/>
      <c r="H855" s="546">
        <v>2901000</v>
      </c>
    </row>
    <row r="856" spans="1:8" s="404" customFormat="1">
      <c r="A856" s="2245"/>
      <c r="B856" s="2265"/>
      <c r="C856" s="2223" t="s">
        <v>963</v>
      </c>
      <c r="D856" s="2224"/>
      <c r="E856" s="2225"/>
      <c r="F856" s="1960" t="s">
        <v>964</v>
      </c>
      <c r="G856" s="548"/>
      <c r="H856" s="546">
        <v>3720000</v>
      </c>
    </row>
    <row r="857" spans="1:8" s="404" customFormat="1">
      <c r="A857" s="2245"/>
      <c r="B857" s="2265"/>
      <c r="C857" s="2223" t="s">
        <v>965</v>
      </c>
      <c r="D857" s="2224"/>
      <c r="E857" s="2225"/>
      <c r="F857" s="557" t="s">
        <v>966</v>
      </c>
      <c r="G857" s="548"/>
      <c r="H857" s="546">
        <v>6586000</v>
      </c>
    </row>
    <row r="858" spans="1:8" s="404" customFormat="1">
      <c r="A858" s="2245"/>
      <c r="B858" s="2265"/>
      <c r="C858" s="2223" t="s">
        <v>967</v>
      </c>
      <c r="D858" s="2224"/>
      <c r="E858" s="2225"/>
      <c r="F858" s="557" t="s">
        <v>968</v>
      </c>
      <c r="G858" s="548"/>
      <c r="H858" s="546">
        <v>34613000</v>
      </c>
    </row>
    <row r="859" spans="1:8" s="404" customFormat="1">
      <c r="A859" s="2245"/>
      <c r="B859" s="2265"/>
      <c r="C859" s="2223" t="s">
        <v>969</v>
      </c>
      <c r="D859" s="2224"/>
      <c r="E859" s="2225"/>
      <c r="F859" s="557" t="s">
        <v>970</v>
      </c>
      <c r="G859" s="548"/>
      <c r="H859" s="546">
        <v>17336000</v>
      </c>
    </row>
    <row r="860" spans="1:8" s="404" customFormat="1">
      <c r="A860" s="2245"/>
      <c r="B860" s="2265"/>
      <c r="C860" s="2223" t="s">
        <v>971</v>
      </c>
      <c r="D860" s="2224"/>
      <c r="E860" s="2225"/>
      <c r="F860" s="557" t="s">
        <v>972</v>
      </c>
      <c r="G860" s="548"/>
      <c r="H860" s="546">
        <v>8640500</v>
      </c>
    </row>
    <row r="861" spans="1:8" s="404" customFormat="1">
      <c r="A861" s="2245"/>
      <c r="B861" s="2265"/>
      <c r="C861" s="2223" t="s">
        <v>835</v>
      </c>
      <c r="D861" s="2224"/>
      <c r="E861" s="2225"/>
      <c r="F861" s="557" t="s">
        <v>973</v>
      </c>
      <c r="G861" s="548"/>
      <c r="H861" s="546">
        <v>764000</v>
      </c>
    </row>
    <row r="862" spans="1:8" s="404" customFormat="1">
      <c r="A862" s="2245"/>
      <c r="B862" s="2265"/>
      <c r="C862" s="2223" t="s">
        <v>974</v>
      </c>
      <c r="D862" s="2224"/>
      <c r="E862" s="2225"/>
      <c r="F862" s="557" t="s">
        <v>975</v>
      </c>
      <c r="G862" s="548"/>
      <c r="H862" s="546">
        <v>40000</v>
      </c>
    </row>
    <row r="863" spans="1:8" s="404" customFormat="1">
      <c r="A863" s="2245"/>
      <c r="B863" s="2265"/>
      <c r="C863" s="2223" t="s">
        <v>1870</v>
      </c>
      <c r="D863" s="2224"/>
      <c r="E863" s="2225"/>
      <c r="F863" s="557" t="s">
        <v>976</v>
      </c>
      <c r="G863" s="548"/>
      <c r="H863" s="546">
        <v>3064000</v>
      </c>
    </row>
    <row r="864" spans="1:8" s="404" customFormat="1">
      <c r="A864" s="2245"/>
      <c r="B864" s="2265"/>
      <c r="C864" s="2223" t="s">
        <v>977</v>
      </c>
      <c r="D864" s="2224"/>
      <c r="E864" s="2225"/>
      <c r="F864" s="1960" t="s">
        <v>978</v>
      </c>
      <c r="G864" s="548"/>
      <c r="H864" s="546">
        <v>590080</v>
      </c>
    </row>
    <row r="865" spans="1:8" s="404" customFormat="1">
      <c r="A865" s="2245"/>
      <c r="B865" s="2265"/>
      <c r="C865" s="2223" t="s">
        <v>979</v>
      </c>
      <c r="D865" s="2224"/>
      <c r="E865" s="2225"/>
      <c r="F865" s="557" t="s">
        <v>980</v>
      </c>
      <c r="G865" s="548"/>
      <c r="H865" s="546">
        <v>5548000</v>
      </c>
    </row>
    <row r="866" spans="1:8" s="404" customFormat="1">
      <c r="A866" s="2245"/>
      <c r="B866" s="2265"/>
      <c r="C866" s="2223" t="s">
        <v>979</v>
      </c>
      <c r="D866" s="2224"/>
      <c r="E866" s="2225"/>
      <c r="F866" s="557" t="s">
        <v>981</v>
      </c>
      <c r="G866" s="548"/>
      <c r="H866" s="546">
        <v>4716000</v>
      </c>
    </row>
    <row r="867" spans="1:8" s="404" customFormat="1">
      <c r="A867" s="2245"/>
      <c r="B867" s="2265"/>
      <c r="C867" s="2223" t="s">
        <v>979</v>
      </c>
      <c r="D867" s="2224"/>
      <c r="E867" s="2225"/>
      <c r="F867" s="557" t="s">
        <v>982</v>
      </c>
      <c r="G867" s="548"/>
      <c r="H867" s="546">
        <v>9957000</v>
      </c>
    </row>
    <row r="868" spans="1:8" s="404" customFormat="1">
      <c r="A868" s="2245"/>
      <c r="B868" s="2265"/>
      <c r="C868" s="2223" t="s">
        <v>835</v>
      </c>
      <c r="D868" s="2224"/>
      <c r="E868" s="2225"/>
      <c r="F868" s="557" t="s">
        <v>983</v>
      </c>
      <c r="G868" s="548"/>
      <c r="H868" s="546">
        <v>13624000</v>
      </c>
    </row>
    <row r="869" spans="1:8" s="404" customFormat="1">
      <c r="A869" s="2245"/>
      <c r="B869" s="2265"/>
      <c r="C869" s="2223" t="s">
        <v>835</v>
      </c>
      <c r="D869" s="2224"/>
      <c r="E869" s="2225"/>
      <c r="F869" s="557" t="s">
        <v>984</v>
      </c>
      <c r="G869" s="548"/>
      <c r="H869" s="546">
        <v>1322000</v>
      </c>
    </row>
    <row r="870" spans="1:8" s="404" customFormat="1">
      <c r="A870" s="2245"/>
      <c r="B870" s="2265"/>
      <c r="C870" s="2223" t="s">
        <v>979</v>
      </c>
      <c r="D870" s="2224"/>
      <c r="E870" s="2225"/>
      <c r="F870" s="557" t="s">
        <v>985</v>
      </c>
      <c r="G870" s="548"/>
      <c r="H870" s="546">
        <v>5478000</v>
      </c>
    </row>
    <row r="871" spans="1:8" s="404" customFormat="1">
      <c r="A871" s="2245"/>
      <c r="B871" s="2265"/>
      <c r="C871" s="2223" t="s">
        <v>835</v>
      </c>
      <c r="D871" s="2224"/>
      <c r="E871" s="2225"/>
      <c r="F871" s="557" t="s">
        <v>986</v>
      </c>
      <c r="G871" s="548"/>
      <c r="H871" s="546">
        <v>1044000</v>
      </c>
    </row>
    <row r="872" spans="1:8" s="404" customFormat="1">
      <c r="A872" s="2245"/>
      <c r="B872" s="2265"/>
      <c r="C872" s="2223" t="s">
        <v>835</v>
      </c>
      <c r="D872" s="2224"/>
      <c r="E872" s="2225"/>
      <c r="F872" s="557" t="s">
        <v>987</v>
      </c>
      <c r="G872" s="548"/>
      <c r="H872" s="546">
        <v>528000</v>
      </c>
    </row>
    <row r="873" spans="1:8" s="404" customFormat="1">
      <c r="A873" s="2245"/>
      <c r="B873" s="2265"/>
      <c r="C873" s="2223" t="s">
        <v>954</v>
      </c>
      <c r="D873" s="2224"/>
      <c r="E873" s="2225"/>
      <c r="F873" s="1960" t="s">
        <v>989</v>
      </c>
      <c r="G873" s="548"/>
      <c r="H873" s="546">
        <v>1316000</v>
      </c>
    </row>
    <row r="874" spans="1:8" s="404" customFormat="1">
      <c r="A874" s="2245"/>
      <c r="B874" s="2265"/>
      <c r="C874" s="2223" t="s">
        <v>954</v>
      </c>
      <c r="D874" s="2224"/>
      <c r="E874" s="2225"/>
      <c r="F874" s="557" t="s">
        <v>990</v>
      </c>
      <c r="G874" s="548"/>
      <c r="H874" s="546">
        <v>780000</v>
      </c>
    </row>
    <row r="875" spans="1:8" s="404" customFormat="1">
      <c r="A875" s="2245"/>
      <c r="B875" s="2265"/>
      <c r="C875" s="2223" t="s">
        <v>954</v>
      </c>
      <c r="D875" s="2224"/>
      <c r="E875" s="2225"/>
      <c r="F875" s="557" t="s">
        <v>991</v>
      </c>
      <c r="G875" s="548"/>
      <c r="H875" s="546">
        <v>1138000</v>
      </c>
    </row>
    <row r="876" spans="1:8" s="404" customFormat="1">
      <c r="A876" s="2245"/>
      <c r="B876" s="2265"/>
      <c r="C876" s="2223" t="s">
        <v>835</v>
      </c>
      <c r="D876" s="2224"/>
      <c r="E876" s="2225"/>
      <c r="F876" s="557" t="s">
        <v>992</v>
      </c>
      <c r="G876" s="548"/>
      <c r="H876" s="546">
        <v>1947000</v>
      </c>
    </row>
    <row r="877" spans="1:8" s="404" customFormat="1">
      <c r="A877" s="2245"/>
      <c r="B877" s="2265"/>
      <c r="C877" s="2223" t="s">
        <v>835</v>
      </c>
      <c r="D877" s="2224"/>
      <c r="E877" s="2225"/>
      <c r="F877" s="557" t="s">
        <v>993</v>
      </c>
      <c r="G877" s="548"/>
      <c r="H877" s="546">
        <v>3847000</v>
      </c>
    </row>
    <row r="878" spans="1:8" s="404" customFormat="1">
      <c r="A878" s="2245"/>
      <c r="B878" s="2265"/>
      <c r="C878" s="2223" t="s">
        <v>941</v>
      </c>
      <c r="D878" s="2224"/>
      <c r="E878" s="2225"/>
      <c r="F878" s="557" t="s">
        <v>994</v>
      </c>
      <c r="G878" s="548"/>
      <c r="H878" s="546">
        <v>5217000</v>
      </c>
    </row>
    <row r="879" spans="1:8" s="404" customFormat="1">
      <c r="A879" s="2245"/>
      <c r="B879" s="2265"/>
      <c r="C879" s="2223" t="s">
        <v>995</v>
      </c>
      <c r="D879" s="2224"/>
      <c r="E879" s="2225"/>
      <c r="F879" s="557" t="s">
        <v>996</v>
      </c>
      <c r="G879" s="548"/>
      <c r="H879" s="546">
        <v>2159000</v>
      </c>
    </row>
    <row r="880" spans="1:8" s="404" customFormat="1">
      <c r="A880" s="2245"/>
      <c r="B880" s="2265"/>
      <c r="C880" s="2223" t="s">
        <v>997</v>
      </c>
      <c r="D880" s="2224"/>
      <c r="E880" s="2225"/>
      <c r="F880" s="557" t="s">
        <v>998</v>
      </c>
      <c r="G880" s="548"/>
      <c r="H880" s="546">
        <v>2895000</v>
      </c>
    </row>
    <row r="881" spans="1:8" s="404" customFormat="1">
      <c r="A881" s="2245"/>
      <c r="B881" s="2265"/>
      <c r="C881" s="2223" t="s">
        <v>999</v>
      </c>
      <c r="D881" s="2224"/>
      <c r="E881" s="2225"/>
      <c r="F881" s="557" t="s">
        <v>695</v>
      </c>
      <c r="G881" s="548"/>
      <c r="H881" s="546">
        <v>5396000</v>
      </c>
    </row>
    <row r="882" spans="1:8" s="404" customFormat="1">
      <c r="A882" s="2245"/>
      <c r="B882" s="2265"/>
      <c r="C882" s="2223" t="s">
        <v>835</v>
      </c>
      <c r="D882" s="2224"/>
      <c r="E882" s="2225"/>
      <c r="F882" s="557" t="s">
        <v>1000</v>
      </c>
      <c r="G882" s="548"/>
      <c r="H882" s="546">
        <v>1733000</v>
      </c>
    </row>
    <row r="883" spans="1:8" s="404" customFormat="1">
      <c r="A883" s="2245"/>
      <c r="B883" s="2265"/>
      <c r="C883" s="2223" t="s">
        <v>1001</v>
      </c>
      <c r="D883" s="2224"/>
      <c r="E883" s="2225"/>
      <c r="F883" s="557" t="s">
        <v>1002</v>
      </c>
      <c r="G883" s="548"/>
      <c r="H883" s="546">
        <v>7480000</v>
      </c>
    </row>
    <row r="884" spans="1:8" s="404" customFormat="1">
      <c r="A884" s="2245"/>
      <c r="B884" s="2265"/>
      <c r="C884" s="2223" t="s">
        <v>1003</v>
      </c>
      <c r="D884" s="2224"/>
      <c r="E884" s="2225"/>
      <c r="F884" s="557" t="s">
        <v>1004</v>
      </c>
      <c r="G884" s="548"/>
      <c r="H884" s="546">
        <v>4794000</v>
      </c>
    </row>
    <row r="885" spans="1:8" s="404" customFormat="1">
      <c r="A885" s="2245"/>
      <c r="B885" s="2265"/>
      <c r="C885" s="2223" t="s">
        <v>1003</v>
      </c>
      <c r="D885" s="2224"/>
      <c r="E885" s="2225"/>
      <c r="F885" s="1960" t="s">
        <v>1005</v>
      </c>
      <c r="G885" s="548"/>
      <c r="H885" s="546">
        <v>3150000</v>
      </c>
    </row>
    <row r="886" spans="1:8" s="404" customFormat="1">
      <c r="A886" s="2245"/>
      <c r="B886" s="2265"/>
      <c r="C886" s="2223" t="s">
        <v>1001</v>
      </c>
      <c r="D886" s="2224"/>
      <c r="E886" s="2225"/>
      <c r="F886" s="557" t="s">
        <v>1006</v>
      </c>
      <c r="G886" s="548"/>
      <c r="H886" s="546">
        <v>2965000</v>
      </c>
    </row>
    <row r="887" spans="1:8" s="404" customFormat="1">
      <c r="A887" s="2245"/>
      <c r="B887" s="2265"/>
      <c r="C887" s="2223" t="s">
        <v>1007</v>
      </c>
      <c r="D887" s="2224"/>
      <c r="E887" s="2225"/>
      <c r="F887" s="557" t="s">
        <v>1008</v>
      </c>
      <c r="G887" s="548"/>
      <c r="H887" s="546">
        <v>1807000</v>
      </c>
    </row>
    <row r="888" spans="1:8" s="404" customFormat="1">
      <c r="A888" s="2245"/>
      <c r="B888" s="2265"/>
      <c r="C888" s="2223" t="s">
        <v>1007</v>
      </c>
      <c r="D888" s="2224"/>
      <c r="E888" s="2225"/>
      <c r="F888" s="557" t="s">
        <v>1009</v>
      </c>
      <c r="G888" s="548"/>
      <c r="H888" s="546">
        <v>2552000</v>
      </c>
    </row>
    <row r="889" spans="1:8" s="404" customFormat="1">
      <c r="A889" s="2245"/>
      <c r="B889" s="2265"/>
      <c r="C889" s="2223" t="s">
        <v>1882</v>
      </c>
      <c r="D889" s="2224"/>
      <c r="E889" s="2225"/>
      <c r="F889" s="557" t="s">
        <v>1010</v>
      </c>
      <c r="G889" s="548"/>
      <c r="H889" s="546">
        <v>716000</v>
      </c>
    </row>
    <row r="890" spans="1:8" s="404" customFormat="1">
      <c r="A890" s="2245"/>
      <c r="B890" s="2265"/>
      <c r="C890" s="2223" t="s">
        <v>1882</v>
      </c>
      <c r="D890" s="2224"/>
      <c r="E890" s="2225"/>
      <c r="F890" s="557" t="s">
        <v>1011</v>
      </c>
      <c r="G890" s="548"/>
      <c r="H890" s="546">
        <v>3106000</v>
      </c>
    </row>
    <row r="891" spans="1:8" s="404" customFormat="1">
      <c r="A891" s="2245"/>
      <c r="B891" s="2265"/>
      <c r="C891" s="2223" t="s">
        <v>923</v>
      </c>
      <c r="D891" s="2224"/>
      <c r="E891" s="2225"/>
      <c r="F891" s="557" t="s">
        <v>1012</v>
      </c>
      <c r="G891" s="548"/>
      <c r="H891" s="546">
        <v>14783000</v>
      </c>
    </row>
    <row r="892" spans="1:8" s="404" customFormat="1">
      <c r="A892" s="2245"/>
      <c r="B892" s="2265"/>
      <c r="C892" s="2223" t="s">
        <v>1013</v>
      </c>
      <c r="D892" s="2224"/>
      <c r="E892" s="2225"/>
      <c r="F892" s="557" t="s">
        <v>1014</v>
      </c>
      <c r="G892" s="548"/>
      <c r="H892" s="546">
        <v>3299000</v>
      </c>
    </row>
    <row r="893" spans="1:8" s="404" customFormat="1">
      <c r="A893" s="2245"/>
      <c r="B893" s="2265"/>
      <c r="C893" s="2223" t="s">
        <v>1015</v>
      </c>
      <c r="D893" s="2224"/>
      <c r="E893" s="2225"/>
      <c r="F893" s="557" t="s">
        <v>1016</v>
      </c>
      <c r="G893" s="548"/>
      <c r="H893" s="546">
        <v>2988000</v>
      </c>
    </row>
    <row r="894" spans="1:8" s="404" customFormat="1">
      <c r="A894" s="2245"/>
      <c r="B894" s="2265"/>
      <c r="C894" s="2223" t="s">
        <v>1017</v>
      </c>
      <c r="D894" s="2224"/>
      <c r="E894" s="2225"/>
      <c r="F894" s="557" t="s">
        <v>1018</v>
      </c>
      <c r="G894" s="548"/>
      <c r="H894" s="546">
        <v>3572000</v>
      </c>
    </row>
    <row r="895" spans="1:8" s="404" customFormat="1">
      <c r="A895" s="2245"/>
      <c r="B895" s="2265"/>
      <c r="C895" s="2223" t="s">
        <v>941</v>
      </c>
      <c r="D895" s="2224"/>
      <c r="E895" s="2225"/>
      <c r="F895" s="557" t="s">
        <v>1019</v>
      </c>
      <c r="G895" s="548"/>
      <c r="H895" s="546">
        <v>9030000</v>
      </c>
    </row>
    <row r="896" spans="1:8" s="404" customFormat="1">
      <c r="A896" s="2245"/>
      <c r="B896" s="2265"/>
      <c r="C896" s="2223" t="s">
        <v>1020</v>
      </c>
      <c r="D896" s="2224"/>
      <c r="E896" s="2225"/>
      <c r="F896" s="557" t="s">
        <v>1021</v>
      </c>
      <c r="G896" s="548"/>
      <c r="H896" s="546">
        <v>2115000</v>
      </c>
    </row>
    <row r="897" spans="1:8" s="404" customFormat="1">
      <c r="A897" s="2245"/>
      <c r="B897" s="2265"/>
      <c r="C897" s="2223" t="s">
        <v>923</v>
      </c>
      <c r="D897" s="2224"/>
      <c r="E897" s="2225"/>
      <c r="F897" s="557" t="s">
        <v>1022</v>
      </c>
      <c r="G897" s="548"/>
      <c r="H897" s="546">
        <v>2475000</v>
      </c>
    </row>
    <row r="898" spans="1:8" s="404" customFormat="1">
      <c r="A898" s="2245"/>
      <c r="B898" s="2265"/>
      <c r="C898" s="2223" t="s">
        <v>1020</v>
      </c>
      <c r="D898" s="2224"/>
      <c r="E898" s="2225"/>
      <c r="F898" s="557" t="s">
        <v>1023</v>
      </c>
      <c r="G898" s="548"/>
      <c r="H898" s="546">
        <v>4245000</v>
      </c>
    </row>
    <row r="899" spans="1:8" s="404" customFormat="1">
      <c r="A899" s="2245"/>
      <c r="B899" s="2265"/>
      <c r="C899" s="2223" t="s">
        <v>1024</v>
      </c>
      <c r="D899" s="2224"/>
      <c r="E899" s="2225"/>
      <c r="F899" s="557" t="s">
        <v>1025</v>
      </c>
      <c r="G899" s="548"/>
      <c r="H899" s="546">
        <v>7914000</v>
      </c>
    </row>
    <row r="900" spans="1:8" s="404" customFormat="1">
      <c r="A900" s="2245"/>
      <c r="B900" s="2265"/>
      <c r="C900" s="2223" t="s">
        <v>1001</v>
      </c>
      <c r="D900" s="2224"/>
      <c r="E900" s="2225"/>
      <c r="F900" s="557" t="s">
        <v>788</v>
      </c>
      <c r="G900" s="548"/>
      <c r="H900" s="546">
        <v>1247000</v>
      </c>
    </row>
    <row r="901" spans="1:8" s="404" customFormat="1">
      <c r="A901" s="2245"/>
      <c r="B901" s="2265"/>
      <c r="C901" s="2223" t="s">
        <v>1880</v>
      </c>
      <c r="D901" s="2224"/>
      <c r="E901" s="2225"/>
      <c r="F901" s="557" t="s">
        <v>768</v>
      </c>
      <c r="G901" s="548"/>
      <c r="H901" s="546">
        <v>1063000</v>
      </c>
    </row>
    <row r="902" spans="1:8" s="404" customFormat="1">
      <c r="A902" s="2245"/>
      <c r="B902" s="2265"/>
      <c r="C902" s="2223" t="s">
        <v>1026</v>
      </c>
      <c r="D902" s="2224"/>
      <c r="E902" s="2225"/>
      <c r="F902" s="1960" t="s">
        <v>1027</v>
      </c>
      <c r="G902" s="548"/>
      <c r="H902" s="546">
        <v>547000</v>
      </c>
    </row>
    <row r="903" spans="1:8" s="404" customFormat="1">
      <c r="A903" s="2245"/>
      <c r="B903" s="2265"/>
      <c r="C903" s="2223" t="s">
        <v>1028</v>
      </c>
      <c r="D903" s="2224"/>
      <c r="E903" s="2225"/>
      <c r="F903" s="1960" t="s">
        <v>1029</v>
      </c>
      <c r="G903" s="548"/>
      <c r="H903" s="546">
        <v>2662000</v>
      </c>
    </row>
    <row r="904" spans="1:8" s="404" customFormat="1">
      <c r="A904" s="2245"/>
      <c r="B904" s="2265"/>
      <c r="C904" s="2223" t="s">
        <v>1030</v>
      </c>
      <c r="D904" s="2224"/>
      <c r="E904" s="2225"/>
      <c r="F904" s="557" t="s">
        <v>1031</v>
      </c>
      <c r="G904" s="548"/>
      <c r="H904" s="546">
        <v>12867000</v>
      </c>
    </row>
    <row r="905" spans="1:8" s="404" customFormat="1">
      <c r="A905" s="2245"/>
      <c r="B905" s="2265"/>
      <c r="C905" s="2223" t="s">
        <v>1032</v>
      </c>
      <c r="D905" s="2224"/>
      <c r="E905" s="2225"/>
      <c r="F905" s="557" t="s">
        <v>1033</v>
      </c>
      <c r="G905" s="548"/>
      <c r="H905" s="546">
        <v>29315000</v>
      </c>
    </row>
    <row r="906" spans="1:8" s="404" customFormat="1">
      <c r="A906" s="2245"/>
      <c r="B906" s="2265"/>
      <c r="C906" s="2223" t="s">
        <v>869</v>
      </c>
      <c r="D906" s="2224"/>
      <c r="E906" s="2225"/>
      <c r="F906" s="557" t="s">
        <v>762</v>
      </c>
      <c r="G906" s="548"/>
      <c r="H906" s="546">
        <v>732000</v>
      </c>
    </row>
    <row r="907" spans="1:8" s="404" customFormat="1">
      <c r="A907" s="2245"/>
      <c r="B907" s="2265"/>
      <c r="C907" s="2223" t="s">
        <v>1034</v>
      </c>
      <c r="D907" s="2224"/>
      <c r="E907" s="2225"/>
      <c r="F907" s="557" t="s">
        <v>1035</v>
      </c>
      <c r="G907" s="548"/>
      <c r="H907" s="546">
        <v>9570000</v>
      </c>
    </row>
    <row r="908" spans="1:8" s="404" customFormat="1">
      <c r="A908" s="2245"/>
      <c r="B908" s="2265"/>
      <c r="C908" s="2223" t="s">
        <v>1036</v>
      </c>
      <c r="D908" s="2224"/>
      <c r="E908" s="2225"/>
      <c r="F908" s="557" t="s">
        <v>1037</v>
      </c>
      <c r="G908" s="548"/>
      <c r="H908" s="546">
        <v>1254000</v>
      </c>
    </row>
    <row r="909" spans="1:8" s="404" customFormat="1">
      <c r="A909" s="2245"/>
      <c r="B909" s="2265"/>
      <c r="C909" s="2223" t="s">
        <v>869</v>
      </c>
      <c r="D909" s="2224"/>
      <c r="E909" s="2225"/>
      <c r="F909" s="557" t="s">
        <v>1038</v>
      </c>
      <c r="G909" s="548"/>
      <c r="H909" s="546">
        <v>44358000</v>
      </c>
    </row>
    <row r="910" spans="1:8" s="404" customFormat="1">
      <c r="A910" s="2245"/>
      <c r="B910" s="2265"/>
      <c r="C910" s="2223" t="s">
        <v>1039</v>
      </c>
      <c r="D910" s="2224"/>
      <c r="E910" s="2225"/>
      <c r="F910" s="557">
        <v>366</v>
      </c>
      <c r="G910" s="548"/>
      <c r="H910" s="546">
        <v>18201000</v>
      </c>
    </row>
    <row r="911" spans="1:8" s="404" customFormat="1">
      <c r="A911" s="2245"/>
      <c r="B911" s="2265"/>
      <c r="C911" s="2223" t="s">
        <v>1040</v>
      </c>
      <c r="D911" s="2224"/>
      <c r="E911" s="2225"/>
      <c r="F911" s="557">
        <v>367</v>
      </c>
      <c r="G911" s="548"/>
      <c r="H911" s="546">
        <v>2096000</v>
      </c>
    </row>
    <row r="912" spans="1:8" s="404" customFormat="1">
      <c r="A912" s="2245"/>
      <c r="B912" s="2265"/>
      <c r="C912" s="2223" t="s">
        <v>869</v>
      </c>
      <c r="D912" s="2224"/>
      <c r="E912" s="2225"/>
      <c r="F912" s="557">
        <v>379</v>
      </c>
      <c r="G912" s="548"/>
      <c r="H912" s="546">
        <v>4293000</v>
      </c>
    </row>
    <row r="913" spans="1:9" s="404" customFormat="1">
      <c r="A913" s="2245"/>
      <c r="B913" s="2265"/>
      <c r="C913" s="2223" t="s">
        <v>1041</v>
      </c>
      <c r="D913" s="2224"/>
      <c r="E913" s="2225"/>
      <c r="F913" s="557" t="s">
        <v>1042</v>
      </c>
      <c r="G913" s="548"/>
      <c r="H913" s="546">
        <v>21161500</v>
      </c>
    </row>
    <row r="914" spans="1:9" s="404" customFormat="1">
      <c r="A914" s="2245"/>
      <c r="B914" s="2265"/>
      <c r="C914" s="2223" t="s">
        <v>1043</v>
      </c>
      <c r="D914" s="2224"/>
      <c r="E914" s="2225"/>
      <c r="F914" s="557">
        <v>381</v>
      </c>
      <c r="G914" s="548"/>
      <c r="H914" s="546">
        <v>1731000</v>
      </c>
    </row>
    <row r="915" spans="1:9" s="404" customFormat="1">
      <c r="A915" s="2245"/>
      <c r="B915" s="2265"/>
      <c r="C915" s="2223" t="s">
        <v>1044</v>
      </c>
      <c r="D915" s="2224"/>
      <c r="E915" s="2225"/>
      <c r="F915" s="1960" t="s">
        <v>1045</v>
      </c>
      <c r="G915" s="548"/>
      <c r="H915" s="546">
        <v>34914000</v>
      </c>
    </row>
    <row r="916" spans="1:9" s="404" customFormat="1">
      <c r="A916" s="2245"/>
      <c r="B916" s="2265"/>
      <c r="C916" s="2223" t="s">
        <v>1046</v>
      </c>
      <c r="D916" s="2224"/>
      <c r="E916" s="2225"/>
      <c r="F916" s="557">
        <v>396</v>
      </c>
      <c r="G916" s="548"/>
      <c r="H916" s="546">
        <v>2122000</v>
      </c>
    </row>
    <row r="917" spans="1:9" s="404" customFormat="1">
      <c r="A917" s="2245"/>
      <c r="B917" s="2265"/>
      <c r="C917" s="2223" t="s">
        <v>1882</v>
      </c>
      <c r="D917" s="2224"/>
      <c r="E917" s="2225"/>
      <c r="F917" s="557">
        <v>412</v>
      </c>
      <c r="G917" s="548"/>
      <c r="H917" s="546">
        <v>2611000</v>
      </c>
    </row>
    <row r="918" spans="1:9" s="404" customFormat="1">
      <c r="A918" s="2245"/>
      <c r="B918" s="2265"/>
      <c r="C918" s="2223" t="s">
        <v>1047</v>
      </c>
      <c r="D918" s="2224"/>
      <c r="E918" s="2225"/>
      <c r="F918" s="557">
        <v>432</v>
      </c>
      <c r="G918" s="548"/>
      <c r="H918" s="546">
        <v>2988000</v>
      </c>
    </row>
    <row r="919" spans="1:9" s="404" customFormat="1">
      <c r="A919" s="2245"/>
      <c r="B919" s="2265"/>
      <c r="C919" s="2223" t="s">
        <v>869</v>
      </c>
      <c r="D919" s="2224"/>
      <c r="E919" s="2225"/>
      <c r="F919" s="557">
        <v>445</v>
      </c>
      <c r="G919" s="548"/>
      <c r="H919" s="546">
        <v>12749000</v>
      </c>
    </row>
    <row r="920" spans="1:9" s="404" customFormat="1">
      <c r="A920" s="2245"/>
      <c r="B920" s="2265"/>
      <c r="C920" s="2223" t="s">
        <v>1048</v>
      </c>
      <c r="D920" s="2224"/>
      <c r="E920" s="2225"/>
      <c r="F920" s="557">
        <v>455</v>
      </c>
      <c r="G920" s="548"/>
      <c r="H920" s="546">
        <v>2405000</v>
      </c>
    </row>
    <row r="921" spans="1:9" s="404" customFormat="1">
      <c r="A921" s="2245"/>
      <c r="B921" s="2265"/>
      <c r="C921" s="2223" t="s">
        <v>1049</v>
      </c>
      <c r="D921" s="2224"/>
      <c r="E921" s="2225"/>
      <c r="F921" s="557">
        <v>472</v>
      </c>
      <c r="G921" s="548"/>
      <c r="H921" s="546">
        <v>2476000</v>
      </c>
    </row>
    <row r="922" spans="1:9" s="404" customFormat="1">
      <c r="A922" s="2245"/>
      <c r="B922" s="2265"/>
      <c r="C922" s="2223" t="s">
        <v>1050</v>
      </c>
      <c r="D922" s="2224"/>
      <c r="E922" s="2225"/>
      <c r="F922" s="557">
        <v>489</v>
      </c>
      <c r="G922" s="548"/>
      <c r="H922" s="546">
        <v>2523000</v>
      </c>
    </row>
    <row r="923" spans="1:9" s="404" customFormat="1">
      <c r="A923" s="2245"/>
      <c r="B923" s="2265"/>
      <c r="C923" s="2223" t="s">
        <v>1051</v>
      </c>
      <c r="D923" s="2224"/>
      <c r="E923" s="2225"/>
      <c r="F923" s="557">
        <v>506</v>
      </c>
      <c r="G923" s="548"/>
      <c r="H923" s="546">
        <v>2534000</v>
      </c>
    </row>
    <row r="924" spans="1:9" s="404" customFormat="1">
      <c r="A924" s="2245"/>
      <c r="B924" s="2265"/>
      <c r="C924" s="2223" t="s">
        <v>1887</v>
      </c>
      <c r="D924" s="2224"/>
      <c r="E924" s="2225"/>
      <c r="F924" s="557">
        <v>832</v>
      </c>
      <c r="G924" s="548"/>
      <c r="H924" s="546">
        <v>7257000</v>
      </c>
    </row>
    <row r="925" spans="1:9" s="404" customFormat="1">
      <c r="A925" s="2245"/>
      <c r="B925" s="2265"/>
      <c r="C925" s="2223" t="s">
        <v>1907</v>
      </c>
      <c r="D925" s="2224"/>
      <c r="E925" s="2225"/>
      <c r="F925" s="557" t="s">
        <v>862</v>
      </c>
      <c r="G925" s="548"/>
      <c r="H925" s="546">
        <v>22986000</v>
      </c>
    </row>
    <row r="926" spans="1:9" s="404" customFormat="1" ht="15.75" thickBot="1">
      <c r="A926" s="2245"/>
      <c r="B926" s="2265"/>
      <c r="C926" s="2226" t="s">
        <v>835</v>
      </c>
      <c r="D926" s="2227"/>
      <c r="E926" s="2228"/>
      <c r="F926" s="1984" t="s">
        <v>988</v>
      </c>
      <c r="G926" s="566"/>
      <c r="H926" s="580">
        <v>1225000</v>
      </c>
    </row>
    <row r="927" spans="1:9" s="404" customFormat="1" ht="15.75" thickTop="1">
      <c r="A927" s="2246"/>
      <c r="B927" s="2274"/>
      <c r="C927" s="2305" t="s">
        <v>804</v>
      </c>
      <c r="D927" s="2306"/>
      <c r="E927" s="2306"/>
      <c r="F927" s="2307"/>
      <c r="G927" s="564" t="s">
        <v>168</v>
      </c>
      <c r="H927" s="565">
        <f>SUM(H751:H926)</f>
        <v>930619740</v>
      </c>
      <c r="I927" s="410"/>
    </row>
    <row r="928" spans="1:9" s="404" customFormat="1">
      <c r="A928" s="2256" t="s">
        <v>466</v>
      </c>
      <c r="B928" s="2258" t="s">
        <v>467</v>
      </c>
      <c r="C928" s="2259"/>
      <c r="D928" s="2259"/>
      <c r="E928" s="2256"/>
      <c r="F928" s="2262" t="s">
        <v>1929</v>
      </c>
      <c r="G928" s="2258" t="s">
        <v>1484</v>
      </c>
      <c r="H928" s="2256"/>
      <c r="I928" s="411"/>
    </row>
    <row r="929" spans="1:9" s="404" customFormat="1">
      <c r="A929" s="2257"/>
      <c r="B929" s="2260"/>
      <c r="C929" s="2261"/>
      <c r="D929" s="2261"/>
      <c r="E929" s="2257"/>
      <c r="F929" s="2263"/>
      <c r="G929" s="2260"/>
      <c r="H929" s="2257"/>
      <c r="I929" s="412"/>
    </row>
    <row r="930" spans="1:9" s="404" customFormat="1">
      <c r="A930" s="2278"/>
      <c r="B930" s="2279"/>
      <c r="C930" s="2296" t="s">
        <v>1052</v>
      </c>
      <c r="D930" s="2272"/>
      <c r="E930" s="2272"/>
      <c r="F930" s="2272"/>
      <c r="G930" s="2272"/>
      <c r="H930" s="2273"/>
      <c r="I930" s="1925"/>
    </row>
    <row r="931" spans="1:9" s="404" customFormat="1">
      <c r="A931" s="2280"/>
      <c r="B931" s="2281"/>
      <c r="C931" s="2223" t="s">
        <v>1053</v>
      </c>
      <c r="D931" s="2224"/>
      <c r="E931" s="2225"/>
      <c r="F931" s="557"/>
      <c r="G931" s="548"/>
      <c r="H931" s="550">
        <v>109370</v>
      </c>
      <c r="I931" s="1925"/>
    </row>
    <row r="932" spans="1:9" s="404" customFormat="1">
      <c r="A932" s="2280"/>
      <c r="B932" s="2281"/>
      <c r="C932" s="2223" t="s">
        <v>1054</v>
      </c>
      <c r="D932" s="2224"/>
      <c r="E932" s="2225"/>
      <c r="F932" s="1962"/>
      <c r="G932" s="548"/>
      <c r="H932" s="550">
        <v>29178</v>
      </c>
      <c r="I932" s="1925"/>
    </row>
    <row r="933" spans="1:9" s="404" customFormat="1">
      <c r="A933" s="2280"/>
      <c r="B933" s="2281"/>
      <c r="C933" s="2223" t="s">
        <v>1055</v>
      </c>
      <c r="D933" s="2224"/>
      <c r="E933" s="2225"/>
      <c r="F933" s="1979" t="s">
        <v>1056</v>
      </c>
      <c r="G933" s="548"/>
      <c r="H933" s="550">
        <v>396800</v>
      </c>
      <c r="I933" s="1925"/>
    </row>
    <row r="934" spans="1:9" s="404" customFormat="1">
      <c r="A934" s="2280"/>
      <c r="B934" s="2281"/>
      <c r="C934" s="2223" t="s">
        <v>1057</v>
      </c>
      <c r="D934" s="2224"/>
      <c r="E934" s="2225"/>
      <c r="F934" s="1979" t="s">
        <v>1058</v>
      </c>
      <c r="G934" s="548"/>
      <c r="H934" s="550">
        <v>1868989</v>
      </c>
      <c r="I934" s="1925"/>
    </row>
    <row r="935" spans="1:9" s="404" customFormat="1">
      <c r="A935" s="2280"/>
      <c r="B935" s="2281"/>
      <c r="C935" s="2223" t="s">
        <v>1055</v>
      </c>
      <c r="D935" s="2224"/>
      <c r="E935" s="2225"/>
      <c r="F935" s="1979" t="s">
        <v>1058</v>
      </c>
      <c r="G935" s="548"/>
      <c r="H935" s="550">
        <v>475420</v>
      </c>
      <c r="I935" s="1925"/>
    </row>
    <row r="936" spans="1:9" s="404" customFormat="1">
      <c r="A936" s="2280"/>
      <c r="B936" s="2281"/>
      <c r="C936" s="2223" t="s">
        <v>1848</v>
      </c>
      <c r="D936" s="2224"/>
      <c r="E936" s="2225"/>
      <c r="F936" s="557" t="s">
        <v>1042</v>
      </c>
      <c r="G936" s="548"/>
      <c r="H936" s="550">
        <v>546825</v>
      </c>
      <c r="I936" s="1925"/>
    </row>
    <row r="937" spans="1:9" s="404" customFormat="1">
      <c r="A937" s="2280"/>
      <c r="B937" s="2281"/>
      <c r="C937" s="2223" t="s">
        <v>1059</v>
      </c>
      <c r="D937" s="2224"/>
      <c r="E937" s="2225"/>
      <c r="F937" s="557">
        <v>104</v>
      </c>
      <c r="G937" s="548"/>
      <c r="H937" s="550">
        <v>3080172</v>
      </c>
      <c r="I937" s="1925"/>
    </row>
    <row r="938" spans="1:9" s="404" customFormat="1">
      <c r="A938" s="2280"/>
      <c r="B938" s="2281"/>
      <c r="C938" s="2223" t="s">
        <v>1060</v>
      </c>
      <c r="D938" s="2224"/>
      <c r="E938" s="2225"/>
      <c r="F938" s="1962">
        <v>104</v>
      </c>
      <c r="G938" s="548"/>
      <c r="H938" s="550">
        <v>981153</v>
      </c>
      <c r="I938" s="1925"/>
    </row>
    <row r="939" spans="1:9" s="404" customFormat="1">
      <c r="A939" s="2280"/>
      <c r="B939" s="2281"/>
      <c r="C939" s="2223" t="s">
        <v>1057</v>
      </c>
      <c r="D939" s="2224"/>
      <c r="E939" s="2225"/>
      <c r="F939" s="1960" t="s">
        <v>960</v>
      </c>
      <c r="G939" s="548"/>
      <c r="H939" s="550">
        <v>2166900</v>
      </c>
      <c r="I939" s="1925"/>
    </row>
    <row r="940" spans="1:9" s="404" customFormat="1">
      <c r="A940" s="2280"/>
      <c r="B940" s="2281"/>
      <c r="C940" s="2223" t="s">
        <v>1055</v>
      </c>
      <c r="D940" s="2224"/>
      <c r="E940" s="2225"/>
      <c r="F940" s="557" t="s">
        <v>960</v>
      </c>
      <c r="G940" s="548"/>
      <c r="H940" s="550">
        <v>707112</v>
      </c>
      <c r="I940" s="1925"/>
    </row>
    <row r="941" spans="1:9" s="404" customFormat="1">
      <c r="A941" s="2280"/>
      <c r="B941" s="2281"/>
      <c r="C941" s="2223" t="s">
        <v>1877</v>
      </c>
      <c r="D941" s="2224"/>
      <c r="E941" s="2225"/>
      <c r="F941" s="557">
        <v>1133</v>
      </c>
      <c r="G941" s="548"/>
      <c r="H941" s="550">
        <v>24503217</v>
      </c>
      <c r="I941" s="1925"/>
    </row>
    <row r="942" spans="1:9" s="404" customFormat="1">
      <c r="A942" s="2280"/>
      <c r="B942" s="2281"/>
      <c r="C942" s="2223" t="s">
        <v>1061</v>
      </c>
      <c r="D942" s="2224"/>
      <c r="E942" s="2225"/>
      <c r="F942" s="557">
        <v>1136</v>
      </c>
      <c r="G942" s="548"/>
      <c r="H942" s="550">
        <v>1065487</v>
      </c>
      <c r="I942" s="1925"/>
    </row>
    <row r="943" spans="1:9" s="404" customFormat="1">
      <c r="A943" s="2280"/>
      <c r="B943" s="2281"/>
      <c r="C943" s="2223" t="s">
        <v>1062</v>
      </c>
      <c r="D943" s="2224"/>
      <c r="E943" s="2225"/>
      <c r="F943" s="557">
        <v>1136</v>
      </c>
      <c r="G943" s="548"/>
      <c r="H943" s="550">
        <v>148788</v>
      </c>
      <c r="I943" s="1925"/>
    </row>
    <row r="944" spans="1:9" s="404" customFormat="1">
      <c r="A944" s="2280"/>
      <c r="B944" s="2281"/>
      <c r="C944" s="2223" t="s">
        <v>1063</v>
      </c>
      <c r="D944" s="2224"/>
      <c r="E944" s="2225"/>
      <c r="F944" s="557">
        <v>1146</v>
      </c>
      <c r="G944" s="548"/>
      <c r="H944" s="550">
        <v>1128540</v>
      </c>
      <c r="I944" s="1925"/>
    </row>
    <row r="945" spans="1:9" s="404" customFormat="1">
      <c r="A945" s="2280"/>
      <c r="B945" s="2281"/>
      <c r="C945" s="2223" t="s">
        <v>1064</v>
      </c>
      <c r="D945" s="2224"/>
      <c r="E945" s="2225"/>
      <c r="F945" s="557" t="s">
        <v>1033</v>
      </c>
      <c r="G945" s="548"/>
      <c r="H945" s="550">
        <v>167376</v>
      </c>
      <c r="I945" s="1925"/>
    </row>
    <row r="946" spans="1:9" s="404" customFormat="1">
      <c r="A946" s="2280"/>
      <c r="B946" s="2281"/>
      <c r="C946" s="2223" t="s">
        <v>1065</v>
      </c>
      <c r="D946" s="2224"/>
      <c r="E946" s="2225"/>
      <c r="F946" s="557">
        <v>1146</v>
      </c>
      <c r="G946" s="548"/>
      <c r="H946" s="550">
        <v>312933</v>
      </c>
      <c r="I946" s="1925"/>
    </row>
    <row r="947" spans="1:9" s="404" customFormat="1">
      <c r="A947" s="2280"/>
      <c r="B947" s="2281"/>
      <c r="C947" s="2223" t="s">
        <v>1066</v>
      </c>
      <c r="D947" s="2224"/>
      <c r="E947" s="2225"/>
      <c r="F947" s="557" t="s">
        <v>914</v>
      </c>
      <c r="G947" s="548"/>
      <c r="H947" s="550">
        <v>306137</v>
      </c>
      <c r="I947" s="1925"/>
    </row>
    <row r="948" spans="1:9" s="404" customFormat="1">
      <c r="A948" s="2280"/>
      <c r="B948" s="2281"/>
      <c r="C948" s="2223" t="s">
        <v>1067</v>
      </c>
      <c r="D948" s="2224"/>
      <c r="E948" s="2225"/>
      <c r="F948" s="557" t="s">
        <v>914</v>
      </c>
      <c r="G948" s="548"/>
      <c r="H948" s="550">
        <v>886615</v>
      </c>
      <c r="I948" s="1925"/>
    </row>
    <row r="949" spans="1:9" s="404" customFormat="1">
      <c r="A949" s="2280"/>
      <c r="B949" s="2281"/>
      <c r="C949" s="2223" t="s">
        <v>1068</v>
      </c>
      <c r="D949" s="2224"/>
      <c r="E949" s="2225"/>
      <c r="F949" s="1960" t="s">
        <v>917</v>
      </c>
      <c r="G949" s="548"/>
      <c r="H949" s="550">
        <v>721309</v>
      </c>
      <c r="I949" s="1925"/>
    </row>
    <row r="950" spans="1:9" s="404" customFormat="1">
      <c r="A950" s="2280"/>
      <c r="B950" s="2281"/>
      <c r="C950" s="2223" t="s">
        <v>1069</v>
      </c>
      <c r="D950" s="2224"/>
      <c r="E950" s="2225"/>
      <c r="F950" s="1962">
        <v>1186</v>
      </c>
      <c r="G950" s="548"/>
      <c r="H950" s="550">
        <v>1985246</v>
      </c>
      <c r="I950" s="1925"/>
    </row>
    <row r="951" spans="1:9" s="404" customFormat="1">
      <c r="A951" s="2280"/>
      <c r="B951" s="2281"/>
      <c r="C951" s="2223" t="s">
        <v>1070</v>
      </c>
      <c r="D951" s="2224"/>
      <c r="E951" s="2225"/>
      <c r="F951" s="557">
        <v>1186</v>
      </c>
      <c r="G951" s="548"/>
      <c r="H951" s="550">
        <v>435072</v>
      </c>
      <c r="I951" s="1925"/>
    </row>
    <row r="952" spans="1:9" s="404" customFormat="1">
      <c r="A952" s="2280"/>
      <c r="B952" s="2281"/>
      <c r="C952" s="2223" t="s">
        <v>1471</v>
      </c>
      <c r="D952" s="2224"/>
      <c r="E952" s="2225"/>
      <c r="F952" s="557">
        <v>1200</v>
      </c>
      <c r="G952" s="548"/>
      <c r="H952" s="550">
        <v>6768886</v>
      </c>
      <c r="I952" s="1925"/>
    </row>
    <row r="953" spans="1:9" s="404" customFormat="1">
      <c r="A953" s="2280"/>
      <c r="B953" s="2281"/>
      <c r="C953" s="2223" t="s">
        <v>1472</v>
      </c>
      <c r="D953" s="2224"/>
      <c r="E953" s="2225"/>
      <c r="F953" s="557">
        <v>1200</v>
      </c>
      <c r="G953" s="548"/>
      <c r="H953" s="550">
        <v>2184463</v>
      </c>
      <c r="I953" s="1925"/>
    </row>
    <row r="954" spans="1:9" s="404" customFormat="1">
      <c r="A954" s="2280"/>
      <c r="B954" s="2281"/>
      <c r="C954" s="2223" t="s">
        <v>1071</v>
      </c>
      <c r="D954" s="2224"/>
      <c r="E954" s="2225"/>
      <c r="F954" s="557">
        <v>1250</v>
      </c>
      <c r="G954" s="548"/>
      <c r="H954" s="550">
        <v>2999575</v>
      </c>
      <c r="I954" s="1925"/>
    </row>
    <row r="955" spans="1:9" s="404" customFormat="1">
      <c r="A955" s="2280"/>
      <c r="B955" s="2281"/>
      <c r="C955" s="2223" t="s">
        <v>1072</v>
      </c>
      <c r="D955" s="2224"/>
      <c r="E955" s="2225"/>
      <c r="F955" s="557">
        <v>1307</v>
      </c>
      <c r="G955" s="548"/>
      <c r="H955" s="550">
        <v>84323</v>
      </c>
      <c r="I955" s="1925"/>
    </row>
    <row r="956" spans="1:9" s="404" customFormat="1">
      <c r="A956" s="2280"/>
      <c r="B956" s="2281"/>
      <c r="C956" s="2223" t="s">
        <v>1947</v>
      </c>
      <c r="D956" s="2224"/>
      <c r="E956" s="2225"/>
      <c r="F956" s="557">
        <v>366</v>
      </c>
      <c r="G956" s="548"/>
      <c r="H956" s="550">
        <v>600</v>
      </c>
      <c r="I956" s="1925"/>
    </row>
    <row r="957" spans="1:9" s="404" customFormat="1">
      <c r="A957" s="2280"/>
      <c r="B957" s="2281"/>
      <c r="C957" s="2223" t="s">
        <v>1073</v>
      </c>
      <c r="D957" s="2224"/>
      <c r="E957" s="2225"/>
      <c r="F957" s="557">
        <v>1307</v>
      </c>
      <c r="G957" s="548"/>
      <c r="H957" s="550">
        <v>257301</v>
      </c>
      <c r="I957" s="1925"/>
    </row>
    <row r="958" spans="1:9" s="404" customFormat="1">
      <c r="A958" s="2280"/>
      <c r="B958" s="2281"/>
      <c r="C958" s="2223" t="s">
        <v>1074</v>
      </c>
      <c r="D958" s="2224"/>
      <c r="E958" s="2225"/>
      <c r="F958" s="557" t="s">
        <v>1005</v>
      </c>
      <c r="G958" s="548"/>
      <c r="H958" s="550">
        <v>13510948</v>
      </c>
      <c r="I958" s="1925"/>
    </row>
    <row r="959" spans="1:9" s="404" customFormat="1">
      <c r="A959" s="2280"/>
      <c r="B959" s="2281"/>
      <c r="C959" s="2223" t="s">
        <v>1074</v>
      </c>
      <c r="D959" s="2224"/>
      <c r="E959" s="2225"/>
      <c r="F959" s="1960" t="s">
        <v>1002</v>
      </c>
      <c r="G959" s="548"/>
      <c r="H959" s="550">
        <v>1982834</v>
      </c>
      <c r="I959" s="1925"/>
    </row>
    <row r="960" spans="1:9" s="404" customFormat="1">
      <c r="A960" s="2280"/>
      <c r="B960" s="2281"/>
      <c r="C960" s="2223" t="s">
        <v>1075</v>
      </c>
      <c r="D960" s="2224"/>
      <c r="E960" s="2225"/>
      <c r="F960" s="557" t="s">
        <v>1849</v>
      </c>
      <c r="G960" s="548"/>
      <c r="H960" s="550">
        <v>12211542</v>
      </c>
      <c r="I960" s="1925"/>
    </row>
    <row r="961" spans="1:9" s="404" customFormat="1">
      <c r="A961" s="2280"/>
      <c r="B961" s="2281"/>
      <c r="C961" s="2223" t="s">
        <v>1074</v>
      </c>
      <c r="D961" s="2224"/>
      <c r="E961" s="2225"/>
      <c r="F961" s="557" t="s">
        <v>1006</v>
      </c>
      <c r="G961" s="548"/>
      <c r="H961" s="550">
        <v>544982</v>
      </c>
      <c r="I961" s="1925"/>
    </row>
    <row r="962" spans="1:9" s="404" customFormat="1">
      <c r="A962" s="2280"/>
      <c r="B962" s="2281"/>
      <c r="C962" s="2223" t="s">
        <v>1076</v>
      </c>
      <c r="D962" s="2224"/>
      <c r="E962" s="2225"/>
      <c r="F962" s="557" t="s">
        <v>1006</v>
      </c>
      <c r="G962" s="547"/>
      <c r="H962" s="550">
        <v>6384434</v>
      </c>
      <c r="I962" s="1925"/>
    </row>
    <row r="963" spans="1:9" s="404" customFormat="1">
      <c r="A963" s="2280"/>
      <c r="B963" s="2281"/>
      <c r="C963" s="2223" t="s">
        <v>1074</v>
      </c>
      <c r="D963" s="2224"/>
      <c r="E963" s="2225"/>
      <c r="F963" s="557" t="s">
        <v>1004</v>
      </c>
      <c r="G963" s="548"/>
      <c r="H963" s="550">
        <v>11697887</v>
      </c>
      <c r="I963" s="1925"/>
    </row>
    <row r="964" spans="1:9" s="404" customFormat="1">
      <c r="A964" s="2280"/>
      <c r="B964" s="2281"/>
      <c r="C964" s="2223" t="s">
        <v>1077</v>
      </c>
      <c r="D964" s="2224"/>
      <c r="E964" s="2225"/>
      <c r="F964" s="557">
        <v>1367</v>
      </c>
      <c r="G964" s="548"/>
      <c r="H964" s="550">
        <v>64372</v>
      </c>
      <c r="I964" s="1925"/>
    </row>
    <row r="965" spans="1:9" s="404" customFormat="1">
      <c r="A965" s="2280"/>
      <c r="B965" s="2281"/>
      <c r="C965" s="2223" t="s">
        <v>1077</v>
      </c>
      <c r="D965" s="2224"/>
      <c r="E965" s="2225"/>
      <c r="F965" s="557">
        <v>1384</v>
      </c>
      <c r="G965" s="548"/>
      <c r="H965" s="550">
        <v>244264</v>
      </c>
      <c r="I965" s="1925"/>
    </row>
    <row r="966" spans="1:9" s="404" customFormat="1">
      <c r="A966" s="2280"/>
      <c r="B966" s="2281"/>
      <c r="C966" s="2223" t="s">
        <v>1078</v>
      </c>
      <c r="D966" s="2224"/>
      <c r="E966" s="2225"/>
      <c r="F966" s="557">
        <v>1396</v>
      </c>
      <c r="G966" s="548"/>
      <c r="H966" s="550">
        <v>447129</v>
      </c>
      <c r="I966" s="1925"/>
    </row>
    <row r="967" spans="1:9" s="404" customFormat="1">
      <c r="A967" s="2280"/>
      <c r="B967" s="2281"/>
      <c r="C967" s="2223" t="s">
        <v>1079</v>
      </c>
      <c r="D967" s="2224"/>
      <c r="E967" s="2225"/>
      <c r="F967" s="557">
        <v>366</v>
      </c>
      <c r="G967" s="548"/>
      <c r="H967" s="550">
        <v>334</v>
      </c>
      <c r="I967" s="1925"/>
    </row>
    <row r="968" spans="1:9" s="404" customFormat="1">
      <c r="A968" s="2280"/>
      <c r="B968" s="2281"/>
      <c r="C968" s="2223" t="s">
        <v>1080</v>
      </c>
      <c r="D968" s="2224"/>
      <c r="E968" s="2225"/>
      <c r="F968" s="1962">
        <v>1412</v>
      </c>
      <c r="G968" s="548"/>
      <c r="H968" s="550">
        <v>245227</v>
      </c>
      <c r="I968" s="1925"/>
    </row>
    <row r="969" spans="1:9" s="404" customFormat="1">
      <c r="A969" s="2280"/>
      <c r="B969" s="2281"/>
      <c r="C969" s="2223" t="s">
        <v>1081</v>
      </c>
      <c r="D969" s="2224"/>
      <c r="E969" s="2225"/>
      <c r="F969" s="1960" t="s">
        <v>934</v>
      </c>
      <c r="G969" s="548"/>
      <c r="H969" s="550">
        <v>8668519</v>
      </c>
      <c r="I969" s="1925"/>
    </row>
    <row r="970" spans="1:9" s="404" customFormat="1">
      <c r="A970" s="2280"/>
      <c r="B970" s="2281"/>
      <c r="C970" s="2223" t="s">
        <v>1082</v>
      </c>
      <c r="D970" s="2224"/>
      <c r="E970" s="2225"/>
      <c r="F970" s="557" t="s">
        <v>939</v>
      </c>
      <c r="G970" s="548"/>
      <c r="H970" s="550">
        <v>3310799</v>
      </c>
      <c r="I970" s="1925"/>
    </row>
    <row r="971" spans="1:9" s="404" customFormat="1">
      <c r="A971" s="2280"/>
      <c r="B971" s="2281"/>
      <c r="C971" s="2223" t="s">
        <v>1074</v>
      </c>
      <c r="D971" s="2224"/>
      <c r="E971" s="2225"/>
      <c r="F971" s="557">
        <v>1439</v>
      </c>
      <c r="G971" s="548"/>
      <c r="H971" s="550">
        <v>5523</v>
      </c>
      <c r="I971" s="1925"/>
    </row>
    <row r="972" spans="1:9" s="404" customFormat="1">
      <c r="A972" s="2280"/>
      <c r="B972" s="2281"/>
      <c r="C972" s="2223" t="s">
        <v>1083</v>
      </c>
      <c r="D972" s="2224"/>
      <c r="E972" s="2225"/>
      <c r="F972" s="557">
        <v>1453</v>
      </c>
      <c r="G972" s="548"/>
      <c r="H972" s="550">
        <v>1408938</v>
      </c>
      <c r="I972" s="1925"/>
    </row>
    <row r="973" spans="1:9" s="404" customFormat="1">
      <c r="A973" s="2280"/>
      <c r="B973" s="2281"/>
      <c r="C973" s="2223" t="s">
        <v>1084</v>
      </c>
      <c r="D973" s="2224"/>
      <c r="E973" s="2225"/>
      <c r="F973" s="557">
        <v>1455</v>
      </c>
      <c r="G973" s="548"/>
      <c r="H973" s="550">
        <v>275736</v>
      </c>
      <c r="I973" s="1925"/>
    </row>
    <row r="974" spans="1:9" s="404" customFormat="1">
      <c r="A974" s="2280"/>
      <c r="B974" s="2281"/>
      <c r="C974" s="2223" t="s">
        <v>1085</v>
      </c>
      <c r="D974" s="2224"/>
      <c r="E974" s="2225"/>
      <c r="F974" s="557">
        <v>1477</v>
      </c>
      <c r="G974" s="548"/>
      <c r="H974" s="550">
        <v>1564261</v>
      </c>
      <c r="I974" s="1925"/>
    </row>
    <row r="975" spans="1:9" s="404" customFormat="1">
      <c r="A975" s="2280"/>
      <c r="B975" s="2281"/>
      <c r="C975" s="2223" t="s">
        <v>1086</v>
      </c>
      <c r="D975" s="2224"/>
      <c r="E975" s="2225"/>
      <c r="F975" s="557">
        <v>1477</v>
      </c>
      <c r="G975" s="548"/>
      <c r="H975" s="550">
        <v>379084</v>
      </c>
      <c r="I975" s="1925"/>
    </row>
    <row r="976" spans="1:9" s="404" customFormat="1">
      <c r="A976" s="2280"/>
      <c r="B976" s="2281"/>
      <c r="C976" s="2223" t="s">
        <v>1087</v>
      </c>
      <c r="D976" s="2224"/>
      <c r="E976" s="2225"/>
      <c r="F976" s="557">
        <v>15</v>
      </c>
      <c r="G976" s="548"/>
      <c r="H976" s="550">
        <v>3114879</v>
      </c>
    </row>
    <row r="977" spans="1:9" s="404" customFormat="1">
      <c r="A977" s="2280"/>
      <c r="B977" s="2281"/>
      <c r="C977" s="2223" t="s">
        <v>1878</v>
      </c>
      <c r="D977" s="2224"/>
      <c r="E977" s="2225"/>
      <c r="F977" s="557" t="s">
        <v>1088</v>
      </c>
      <c r="G977" s="548"/>
      <c r="H977" s="550">
        <v>341797</v>
      </c>
    </row>
    <row r="978" spans="1:9" s="404" customFormat="1">
      <c r="A978" s="2280"/>
      <c r="B978" s="2281"/>
      <c r="C978" s="2223" t="s">
        <v>1879</v>
      </c>
      <c r="D978" s="2224"/>
      <c r="E978" s="2225"/>
      <c r="F978" s="557">
        <v>1504</v>
      </c>
      <c r="G978" s="548"/>
      <c r="H978" s="550">
        <v>12022738</v>
      </c>
    </row>
    <row r="979" spans="1:9" s="404" customFormat="1">
      <c r="A979" s="2280"/>
      <c r="B979" s="2281"/>
      <c r="C979" s="2223" t="s">
        <v>1089</v>
      </c>
      <c r="D979" s="2224"/>
      <c r="E979" s="2225"/>
      <c r="F979" s="557">
        <v>1560</v>
      </c>
      <c r="G979" s="548"/>
      <c r="H979" s="550">
        <v>54884</v>
      </c>
    </row>
    <row r="980" spans="1:9" s="404" customFormat="1">
      <c r="A980" s="2280"/>
      <c r="B980" s="2281"/>
      <c r="C980" s="2223" t="s">
        <v>1883</v>
      </c>
      <c r="D980" s="2224"/>
      <c r="E980" s="2225"/>
      <c r="F980" s="557" t="s">
        <v>1011</v>
      </c>
      <c r="G980" s="548"/>
      <c r="H980" s="550">
        <v>2647091</v>
      </c>
    </row>
    <row r="981" spans="1:9" s="404" customFormat="1">
      <c r="A981" s="2280"/>
      <c r="B981" s="2281"/>
      <c r="C981" s="2223" t="s">
        <v>1884</v>
      </c>
      <c r="D981" s="2224"/>
      <c r="E981" s="2225"/>
      <c r="F981" s="557" t="s">
        <v>1011</v>
      </c>
      <c r="G981" s="548"/>
      <c r="H981" s="550">
        <v>403709</v>
      </c>
    </row>
    <row r="982" spans="1:9" s="404" customFormat="1">
      <c r="A982" s="2280"/>
      <c r="B982" s="2281"/>
      <c r="C982" s="2223" t="s">
        <v>1090</v>
      </c>
      <c r="D982" s="2224"/>
      <c r="E982" s="2225"/>
      <c r="F982" s="557">
        <v>1657</v>
      </c>
      <c r="G982" s="548"/>
      <c r="H982" s="550">
        <v>5793723</v>
      </c>
    </row>
    <row r="983" spans="1:9" s="404" customFormat="1">
      <c r="A983" s="2280"/>
      <c r="B983" s="2281"/>
      <c r="C983" s="2223" t="s">
        <v>1091</v>
      </c>
      <c r="D983" s="2224"/>
      <c r="E983" s="2225"/>
      <c r="F983" s="557" t="s">
        <v>1092</v>
      </c>
      <c r="G983" s="548"/>
      <c r="H983" s="550">
        <v>18225634</v>
      </c>
    </row>
    <row r="984" spans="1:9" s="404" customFormat="1">
      <c r="A984" s="2280"/>
      <c r="B984" s="2281"/>
      <c r="C984" s="2223" t="s">
        <v>1093</v>
      </c>
      <c r="D984" s="2224"/>
      <c r="E984" s="2225"/>
      <c r="F984" s="557" t="s">
        <v>1014</v>
      </c>
      <c r="G984" s="548"/>
      <c r="H984" s="550">
        <v>575055</v>
      </c>
    </row>
    <row r="985" spans="1:9" s="404" customFormat="1">
      <c r="A985" s="2280"/>
      <c r="B985" s="2281"/>
      <c r="C985" s="2223" t="s">
        <v>1094</v>
      </c>
      <c r="D985" s="2224"/>
      <c r="E985" s="2225"/>
      <c r="F985" s="557">
        <v>220</v>
      </c>
      <c r="G985" s="548"/>
      <c r="H985" s="550">
        <v>641229</v>
      </c>
    </row>
    <row r="986" spans="1:9" s="404" customFormat="1">
      <c r="A986" s="2280"/>
      <c r="B986" s="2281"/>
      <c r="C986" s="2223" t="s">
        <v>1095</v>
      </c>
      <c r="D986" s="2224"/>
      <c r="E986" s="2225"/>
      <c r="F986" s="557" t="s">
        <v>1018</v>
      </c>
      <c r="G986" s="548"/>
      <c r="H986" s="550">
        <v>2998955</v>
      </c>
    </row>
    <row r="987" spans="1:9" s="404" customFormat="1">
      <c r="A987" s="2280"/>
      <c r="B987" s="2281"/>
      <c r="C987" s="2223" t="s">
        <v>1096</v>
      </c>
      <c r="D987" s="2224"/>
      <c r="E987" s="2225"/>
      <c r="F987" s="557" t="s">
        <v>1018</v>
      </c>
      <c r="G987" s="548"/>
      <c r="H987" s="550">
        <v>716101</v>
      </c>
    </row>
    <row r="988" spans="1:9" s="404" customFormat="1">
      <c r="A988" s="2280"/>
      <c r="B988" s="2281"/>
      <c r="C988" s="2223" t="s">
        <v>1097</v>
      </c>
      <c r="D988" s="2224"/>
      <c r="E988" s="2225"/>
      <c r="F988" s="557" t="s">
        <v>904</v>
      </c>
      <c r="G988" s="548"/>
      <c r="H988" s="550">
        <v>152534</v>
      </c>
    </row>
    <row r="989" spans="1:9" s="404" customFormat="1">
      <c r="A989" s="2280"/>
      <c r="B989" s="2281"/>
      <c r="C989" s="2223" t="s">
        <v>1098</v>
      </c>
      <c r="D989" s="2224"/>
      <c r="E989" s="2225"/>
      <c r="F989" s="557" t="s">
        <v>1021</v>
      </c>
      <c r="G989" s="548"/>
      <c r="H989" s="550">
        <v>1901541</v>
      </c>
    </row>
    <row r="990" spans="1:9" s="404" customFormat="1">
      <c r="A990" s="2280"/>
      <c r="B990" s="2281"/>
      <c r="C990" s="2223" t="s">
        <v>1099</v>
      </c>
      <c r="D990" s="2224"/>
      <c r="E990" s="2225"/>
      <c r="F990" s="557" t="s">
        <v>1021</v>
      </c>
      <c r="G990" s="548"/>
      <c r="H990" s="550">
        <v>376651</v>
      </c>
      <c r="I990" s="1925"/>
    </row>
    <row r="991" spans="1:9" s="404" customFormat="1">
      <c r="A991" s="2280"/>
      <c r="B991" s="2281"/>
      <c r="C991" s="2223" t="s">
        <v>1098</v>
      </c>
      <c r="D991" s="2224"/>
      <c r="E991" s="2225"/>
      <c r="F991" s="557" t="s">
        <v>1023</v>
      </c>
      <c r="G991" s="548"/>
      <c r="H991" s="550">
        <v>3433252</v>
      </c>
      <c r="I991" s="1925"/>
    </row>
    <row r="992" spans="1:9" s="404" customFormat="1">
      <c r="A992" s="2280"/>
      <c r="B992" s="2281"/>
      <c r="C992" s="2223" t="s">
        <v>1099</v>
      </c>
      <c r="D992" s="2224"/>
      <c r="E992" s="2225"/>
      <c r="F992" s="557" t="s">
        <v>1023</v>
      </c>
      <c r="G992" s="548"/>
      <c r="H992" s="550">
        <v>751751</v>
      </c>
      <c r="I992" s="1925"/>
    </row>
    <row r="993" spans="1:9" s="404" customFormat="1">
      <c r="A993" s="2280"/>
      <c r="B993" s="2281"/>
      <c r="C993" s="2223" t="s">
        <v>1100</v>
      </c>
      <c r="D993" s="2224"/>
      <c r="E993" s="2225"/>
      <c r="F993" s="557">
        <v>28</v>
      </c>
      <c r="G993" s="548"/>
      <c r="H993" s="550">
        <v>1992995</v>
      </c>
      <c r="I993" s="1925"/>
    </row>
    <row r="994" spans="1:9" s="404" customFormat="1">
      <c r="A994" s="2280"/>
      <c r="B994" s="2281"/>
      <c r="C994" s="2223" t="s">
        <v>1060</v>
      </c>
      <c r="D994" s="2224"/>
      <c r="E994" s="2225"/>
      <c r="F994" s="557">
        <v>28</v>
      </c>
      <c r="G994" s="548"/>
      <c r="H994" s="550">
        <v>513053</v>
      </c>
      <c r="I994" s="1925"/>
    </row>
    <row r="995" spans="1:9" s="404" customFormat="1">
      <c r="A995" s="2280"/>
      <c r="B995" s="2281"/>
      <c r="C995" s="2223" t="s">
        <v>1074</v>
      </c>
      <c r="D995" s="2224"/>
      <c r="E995" s="2225"/>
      <c r="F995" s="557" t="s">
        <v>788</v>
      </c>
      <c r="G995" s="548"/>
      <c r="H995" s="550">
        <v>212041</v>
      </c>
      <c r="I995" s="1925"/>
    </row>
    <row r="996" spans="1:9" s="404" customFormat="1">
      <c r="A996" s="2280"/>
      <c r="B996" s="2281"/>
      <c r="C996" s="2223" t="s">
        <v>1075</v>
      </c>
      <c r="D996" s="2224"/>
      <c r="E996" s="2225"/>
      <c r="F996" s="557" t="s">
        <v>788</v>
      </c>
      <c r="G996" s="548"/>
      <c r="H996" s="550">
        <v>415092</v>
      </c>
      <c r="I996" s="1925"/>
    </row>
    <row r="997" spans="1:9" s="404" customFormat="1">
      <c r="A997" s="2280"/>
      <c r="B997" s="2281"/>
      <c r="C997" s="2223" t="s">
        <v>1879</v>
      </c>
      <c r="D997" s="2224"/>
      <c r="E997" s="2225"/>
      <c r="F997" s="1960" t="s">
        <v>768</v>
      </c>
      <c r="G997" s="548"/>
      <c r="H997" s="550">
        <v>2242577</v>
      </c>
      <c r="I997" s="1925"/>
    </row>
    <row r="998" spans="1:9" s="404" customFormat="1">
      <c r="A998" s="2280"/>
      <c r="B998" s="2281"/>
      <c r="C998" s="2223" t="s">
        <v>1850</v>
      </c>
      <c r="D998" s="2224"/>
      <c r="E998" s="2225"/>
      <c r="F998" s="1960" t="s">
        <v>1031</v>
      </c>
      <c r="G998" s="548"/>
      <c r="H998" s="550">
        <v>7930174</v>
      </c>
      <c r="I998" s="1925"/>
    </row>
    <row r="999" spans="1:9" s="404" customFormat="1">
      <c r="A999" s="2280"/>
      <c r="B999" s="2281"/>
      <c r="C999" s="2223" t="s">
        <v>1851</v>
      </c>
      <c r="D999" s="2224"/>
      <c r="E999" s="2225"/>
      <c r="F999" s="557" t="s">
        <v>1031</v>
      </c>
      <c r="G999" s="548"/>
      <c r="H999" s="550">
        <v>12062665</v>
      </c>
      <c r="I999" s="1925"/>
    </row>
    <row r="1000" spans="1:9" s="404" customFormat="1">
      <c r="A1000" s="2280"/>
      <c r="B1000" s="2281"/>
      <c r="C1000" s="2223" t="s">
        <v>1101</v>
      </c>
      <c r="D1000" s="2224"/>
      <c r="E1000" s="2225"/>
      <c r="F1000" s="557" t="s">
        <v>1029</v>
      </c>
      <c r="G1000" s="548"/>
      <c r="H1000" s="550">
        <v>1793646</v>
      </c>
      <c r="I1000" s="1925"/>
    </row>
    <row r="1001" spans="1:9" s="404" customFormat="1">
      <c r="A1001" s="2280"/>
      <c r="B1001" s="2281"/>
      <c r="C1001" s="2223" t="s">
        <v>1102</v>
      </c>
      <c r="D1001" s="2224"/>
      <c r="E1001" s="2225"/>
      <c r="F1001" s="557" t="s">
        <v>1029</v>
      </c>
      <c r="G1001" s="548"/>
      <c r="H1001" s="550">
        <v>223219</v>
      </c>
      <c r="I1001" s="1925"/>
    </row>
    <row r="1002" spans="1:9" s="404" customFormat="1">
      <c r="A1002" s="2280"/>
      <c r="B1002" s="2281"/>
      <c r="C1002" s="2223" t="s">
        <v>1852</v>
      </c>
      <c r="D1002" s="2224"/>
      <c r="E1002" s="2225"/>
      <c r="F1002" s="557" t="s">
        <v>627</v>
      </c>
      <c r="G1002" s="548"/>
      <c r="H1002" s="550">
        <v>1037560</v>
      </c>
      <c r="I1002" s="1925"/>
    </row>
    <row r="1003" spans="1:9" s="404" customFormat="1">
      <c r="A1003" s="2280"/>
      <c r="B1003" s="2281"/>
      <c r="C1003" s="2223" t="s">
        <v>1853</v>
      </c>
      <c r="D1003" s="2224"/>
      <c r="E1003" s="2225"/>
      <c r="F1003" s="557" t="s">
        <v>627</v>
      </c>
      <c r="G1003" s="548"/>
      <c r="H1003" s="550">
        <v>2708161</v>
      </c>
      <c r="I1003" s="1925"/>
    </row>
    <row r="1004" spans="1:9" s="404" customFormat="1">
      <c r="A1004" s="2280"/>
      <c r="B1004" s="2281"/>
      <c r="C1004" s="2223" t="s">
        <v>1854</v>
      </c>
      <c r="D1004" s="2224"/>
      <c r="E1004" s="2225"/>
      <c r="F1004" s="557" t="s">
        <v>627</v>
      </c>
      <c r="G1004" s="548"/>
      <c r="H1004" s="550">
        <v>1530479</v>
      </c>
      <c r="I1004" s="1925"/>
    </row>
    <row r="1005" spans="1:9" s="404" customFormat="1">
      <c r="A1005" s="2280"/>
      <c r="B1005" s="2281"/>
      <c r="C1005" s="2223" t="s">
        <v>1103</v>
      </c>
      <c r="D1005" s="2224"/>
      <c r="E1005" s="2225"/>
      <c r="F1005" s="557" t="s">
        <v>1104</v>
      </c>
      <c r="G1005" s="548"/>
      <c r="H1005" s="550">
        <v>15855571</v>
      </c>
      <c r="I1005" s="1925"/>
    </row>
    <row r="1006" spans="1:9" s="404" customFormat="1">
      <c r="A1006" s="2280"/>
      <c r="B1006" s="2281"/>
      <c r="C1006" s="2223" t="s">
        <v>1105</v>
      </c>
      <c r="D1006" s="2224"/>
      <c r="E1006" s="2225"/>
      <c r="F1006" s="557" t="s">
        <v>1035</v>
      </c>
      <c r="G1006" s="548"/>
      <c r="H1006" s="550">
        <v>2687555</v>
      </c>
      <c r="I1006" s="1925"/>
    </row>
    <row r="1007" spans="1:9" s="404" customFormat="1">
      <c r="A1007" s="2280"/>
      <c r="B1007" s="2281"/>
      <c r="C1007" s="2223" t="s">
        <v>1106</v>
      </c>
      <c r="D1007" s="2224"/>
      <c r="E1007" s="2225"/>
      <c r="F1007" s="557" t="s">
        <v>1037</v>
      </c>
      <c r="G1007" s="548"/>
      <c r="H1007" s="550">
        <v>3077043</v>
      </c>
      <c r="I1007" s="1925"/>
    </row>
    <row r="1008" spans="1:9" s="404" customFormat="1">
      <c r="A1008" s="2280"/>
      <c r="B1008" s="2281"/>
      <c r="C1008" s="2223" t="s">
        <v>1103</v>
      </c>
      <c r="D1008" s="2224"/>
      <c r="E1008" s="2225"/>
      <c r="F1008" s="557" t="s">
        <v>1038</v>
      </c>
      <c r="G1008" s="548"/>
      <c r="H1008" s="550">
        <v>26744659</v>
      </c>
      <c r="I1008" s="1925"/>
    </row>
    <row r="1009" spans="1:9" s="404" customFormat="1">
      <c r="A1009" s="2280"/>
      <c r="B1009" s="2281"/>
      <c r="C1009" s="2223" t="s">
        <v>1855</v>
      </c>
      <c r="D1009" s="2224"/>
      <c r="E1009" s="2225"/>
      <c r="F1009" s="557" t="s">
        <v>629</v>
      </c>
      <c r="G1009" s="548"/>
      <c r="H1009" s="550">
        <v>157172</v>
      </c>
      <c r="I1009" s="1925"/>
    </row>
    <row r="1010" spans="1:9" s="404" customFormat="1">
      <c r="A1010" s="2280"/>
      <c r="B1010" s="2281"/>
      <c r="C1010" s="2223" t="s">
        <v>1856</v>
      </c>
      <c r="D1010" s="2224"/>
      <c r="E1010" s="2225"/>
      <c r="F1010" s="557" t="s">
        <v>629</v>
      </c>
      <c r="G1010" s="548"/>
      <c r="H1010" s="550">
        <v>591465</v>
      </c>
      <c r="I1010" s="1925"/>
    </row>
    <row r="1011" spans="1:9" s="404" customFormat="1">
      <c r="A1011" s="2280"/>
      <c r="B1011" s="2281"/>
      <c r="C1011" s="2223" t="s">
        <v>1107</v>
      </c>
      <c r="D1011" s="2224"/>
      <c r="E1011" s="2225"/>
      <c r="F1011" s="557">
        <v>366</v>
      </c>
      <c r="G1011" s="548"/>
      <c r="H1011" s="550">
        <v>7934475</v>
      </c>
      <c r="I1011" s="1925"/>
    </row>
    <row r="1012" spans="1:9" s="404" customFormat="1">
      <c r="A1012" s="2280"/>
      <c r="B1012" s="2281"/>
      <c r="C1012" s="2223" t="s">
        <v>1108</v>
      </c>
      <c r="D1012" s="2224"/>
      <c r="E1012" s="2225"/>
      <c r="F1012" s="557">
        <v>367</v>
      </c>
      <c r="G1012" s="548"/>
      <c r="H1012" s="550">
        <v>351247</v>
      </c>
      <c r="I1012" s="1925"/>
    </row>
    <row r="1013" spans="1:9" s="404" customFormat="1">
      <c r="A1013" s="2280"/>
      <c r="B1013" s="2281"/>
      <c r="C1013" s="2223" t="s">
        <v>1106</v>
      </c>
      <c r="D1013" s="2224"/>
      <c r="E1013" s="2225"/>
      <c r="F1013" s="557">
        <v>367</v>
      </c>
      <c r="G1013" s="548"/>
      <c r="H1013" s="550">
        <v>25441696</v>
      </c>
      <c r="I1013" s="1925"/>
    </row>
    <row r="1014" spans="1:9" s="404" customFormat="1">
      <c r="A1014" s="2280"/>
      <c r="B1014" s="2281"/>
      <c r="C1014" s="2223" t="s">
        <v>1103</v>
      </c>
      <c r="D1014" s="2224"/>
      <c r="E1014" s="2225"/>
      <c r="F1014" s="557">
        <v>379</v>
      </c>
      <c r="G1014" s="548"/>
      <c r="H1014" s="550">
        <v>4215284</v>
      </c>
      <c r="I1014" s="1925"/>
    </row>
    <row r="1015" spans="1:9" s="404" customFormat="1">
      <c r="A1015" s="2280"/>
      <c r="B1015" s="2281"/>
      <c r="C1015" s="2223" t="s">
        <v>1109</v>
      </c>
      <c r="D1015" s="2224"/>
      <c r="E1015" s="2225"/>
      <c r="F1015" s="557">
        <v>381</v>
      </c>
      <c r="G1015" s="548"/>
      <c r="H1015" s="550">
        <v>5575068</v>
      </c>
      <c r="I1015" s="1925"/>
    </row>
    <row r="1016" spans="1:9" s="404" customFormat="1">
      <c r="A1016" s="2280"/>
      <c r="B1016" s="2281"/>
      <c r="C1016" s="2223" t="s">
        <v>1110</v>
      </c>
      <c r="D1016" s="2224"/>
      <c r="E1016" s="2225"/>
      <c r="F1016" s="557">
        <v>381</v>
      </c>
      <c r="G1016" s="548"/>
      <c r="H1016" s="550">
        <v>331776</v>
      </c>
      <c r="I1016" s="1925"/>
    </row>
    <row r="1017" spans="1:9" s="404" customFormat="1">
      <c r="A1017" s="2280"/>
      <c r="B1017" s="2281"/>
      <c r="C1017" s="2223" t="s">
        <v>1111</v>
      </c>
      <c r="D1017" s="2224"/>
      <c r="E1017" s="2225"/>
      <c r="F1017" s="1960" t="s">
        <v>1045</v>
      </c>
      <c r="G1017" s="548"/>
      <c r="H1017" s="550">
        <v>13495263</v>
      </c>
      <c r="I1017" s="1925"/>
    </row>
    <row r="1018" spans="1:9" s="404" customFormat="1">
      <c r="A1018" s="2280"/>
      <c r="B1018" s="2281"/>
      <c r="C1018" s="2223" t="s">
        <v>1885</v>
      </c>
      <c r="D1018" s="2224"/>
      <c r="E1018" s="2225"/>
      <c r="F1018" s="557">
        <v>412</v>
      </c>
      <c r="G1018" s="548"/>
      <c r="H1018" s="550">
        <v>1640533</v>
      </c>
      <c r="I1018" s="1925"/>
    </row>
    <row r="1019" spans="1:9" s="404" customFormat="1">
      <c r="A1019" s="2280"/>
      <c r="B1019" s="2281"/>
      <c r="C1019" s="2223" t="s">
        <v>1884</v>
      </c>
      <c r="D1019" s="2224"/>
      <c r="E1019" s="2225"/>
      <c r="F1019" s="557">
        <v>412</v>
      </c>
      <c r="G1019" s="548"/>
      <c r="H1019" s="550">
        <v>610947</v>
      </c>
      <c r="I1019" s="1925"/>
    </row>
    <row r="1020" spans="1:9" s="404" customFormat="1">
      <c r="A1020" s="2280"/>
      <c r="B1020" s="2281"/>
      <c r="C1020" s="2223" t="s">
        <v>1112</v>
      </c>
      <c r="D1020" s="2224"/>
      <c r="E1020" s="2225"/>
      <c r="F1020" s="557">
        <v>432</v>
      </c>
      <c r="G1020" s="548"/>
      <c r="H1020" s="550">
        <v>2384213</v>
      </c>
      <c r="I1020" s="1925"/>
    </row>
    <row r="1021" spans="1:9" s="404" customFormat="1">
      <c r="A1021" s="2280"/>
      <c r="B1021" s="2281"/>
      <c r="C1021" s="2223" t="s">
        <v>1113</v>
      </c>
      <c r="D1021" s="2224"/>
      <c r="E1021" s="2225"/>
      <c r="F1021" s="557">
        <v>432</v>
      </c>
      <c r="G1021" s="548"/>
      <c r="H1021" s="550">
        <v>589001</v>
      </c>
      <c r="I1021" s="1925"/>
    </row>
    <row r="1022" spans="1:9" s="404" customFormat="1">
      <c r="A1022" s="2280"/>
      <c r="B1022" s="2281"/>
      <c r="C1022" s="2223" t="s">
        <v>1103</v>
      </c>
      <c r="D1022" s="2224"/>
      <c r="E1022" s="2225"/>
      <c r="F1022" s="557">
        <v>445</v>
      </c>
      <c r="G1022" s="548"/>
      <c r="H1022" s="550">
        <v>23249801</v>
      </c>
    </row>
    <row r="1023" spans="1:9" s="404" customFormat="1">
      <c r="A1023" s="2280"/>
      <c r="B1023" s="2281"/>
      <c r="C1023" s="2223" t="s">
        <v>1114</v>
      </c>
      <c r="D1023" s="2224"/>
      <c r="E1023" s="2225"/>
      <c r="F1023" s="557">
        <v>455</v>
      </c>
      <c r="G1023" s="548"/>
      <c r="H1023" s="550">
        <v>446403</v>
      </c>
    </row>
    <row r="1024" spans="1:9" s="404" customFormat="1">
      <c r="A1024" s="2280"/>
      <c r="B1024" s="2281"/>
      <c r="C1024" s="2223" t="s">
        <v>1115</v>
      </c>
      <c r="D1024" s="2224"/>
      <c r="E1024" s="2225"/>
      <c r="F1024" s="557">
        <v>472</v>
      </c>
      <c r="G1024" s="548"/>
      <c r="H1024" s="550">
        <v>458447</v>
      </c>
    </row>
    <row r="1025" spans="1:8" s="404" customFormat="1">
      <c r="A1025" s="2280"/>
      <c r="B1025" s="2281"/>
      <c r="C1025" s="2223" t="s">
        <v>1116</v>
      </c>
      <c r="D1025" s="2224"/>
      <c r="E1025" s="2225"/>
      <c r="F1025" s="557">
        <v>489</v>
      </c>
      <c r="G1025" s="548"/>
      <c r="H1025" s="550">
        <v>499629</v>
      </c>
    </row>
    <row r="1026" spans="1:8" s="404" customFormat="1">
      <c r="A1026" s="2280"/>
      <c r="B1026" s="2281"/>
      <c r="C1026" s="2223" t="s">
        <v>1117</v>
      </c>
      <c r="D1026" s="2224"/>
      <c r="E1026" s="2225"/>
      <c r="F1026" s="1960" t="s">
        <v>809</v>
      </c>
      <c r="G1026" s="548"/>
      <c r="H1026" s="550">
        <v>5540928</v>
      </c>
    </row>
    <row r="1027" spans="1:8" s="404" customFormat="1">
      <c r="A1027" s="2280"/>
      <c r="B1027" s="2281"/>
      <c r="C1027" s="2223" t="s">
        <v>1118</v>
      </c>
      <c r="D1027" s="2224"/>
      <c r="E1027" s="2225"/>
      <c r="F1027" s="1960" t="s">
        <v>809</v>
      </c>
      <c r="G1027" s="548"/>
      <c r="H1027" s="550">
        <v>961297</v>
      </c>
    </row>
    <row r="1028" spans="1:8" s="404" customFormat="1">
      <c r="A1028" s="2280"/>
      <c r="B1028" s="2281"/>
      <c r="C1028" s="2223" t="s">
        <v>1119</v>
      </c>
      <c r="D1028" s="2224"/>
      <c r="E1028" s="2225"/>
      <c r="F1028" s="557">
        <v>543</v>
      </c>
      <c r="G1028" s="548"/>
      <c r="H1028" s="550">
        <v>610066</v>
      </c>
    </row>
    <row r="1029" spans="1:8" s="404" customFormat="1">
      <c r="A1029" s="2280"/>
      <c r="B1029" s="2281"/>
      <c r="C1029" s="2223" t="s">
        <v>1120</v>
      </c>
      <c r="D1029" s="2224"/>
      <c r="E1029" s="2225"/>
      <c r="F1029" s="557">
        <v>561</v>
      </c>
      <c r="G1029" s="548"/>
      <c r="H1029" s="550">
        <v>623816</v>
      </c>
    </row>
    <row r="1030" spans="1:8" s="404" customFormat="1">
      <c r="A1030" s="2280"/>
      <c r="B1030" s="2281"/>
      <c r="C1030" s="2223" t="s">
        <v>1121</v>
      </c>
      <c r="D1030" s="2224"/>
      <c r="E1030" s="2225"/>
      <c r="F1030" s="557">
        <v>581</v>
      </c>
      <c r="G1030" s="548"/>
      <c r="H1030" s="550">
        <v>1340428</v>
      </c>
    </row>
    <row r="1031" spans="1:8" s="404" customFormat="1">
      <c r="A1031" s="2280"/>
      <c r="B1031" s="2281"/>
      <c r="C1031" s="2223" t="s">
        <v>1122</v>
      </c>
      <c r="D1031" s="2224"/>
      <c r="E1031" s="2225"/>
      <c r="F1031" s="557">
        <v>581</v>
      </c>
      <c r="G1031" s="548"/>
      <c r="H1031" s="550">
        <v>174588</v>
      </c>
    </row>
    <row r="1032" spans="1:8" s="404" customFormat="1">
      <c r="A1032" s="2280"/>
      <c r="B1032" s="2281"/>
      <c r="C1032" s="2223" t="s">
        <v>1895</v>
      </c>
      <c r="D1032" s="2224"/>
      <c r="E1032" s="2225"/>
      <c r="F1032" s="557">
        <v>592</v>
      </c>
      <c r="G1032" s="548"/>
      <c r="H1032" s="550">
        <v>294501</v>
      </c>
    </row>
    <row r="1033" spans="1:8" s="404" customFormat="1">
      <c r="A1033" s="2280"/>
      <c r="B1033" s="2281"/>
      <c r="C1033" s="2223" t="s">
        <v>1123</v>
      </c>
      <c r="D1033" s="2224"/>
      <c r="E1033" s="2225"/>
      <c r="F1033" s="557">
        <v>603</v>
      </c>
      <c r="G1033" s="548"/>
      <c r="H1033" s="550">
        <v>278999</v>
      </c>
    </row>
    <row r="1034" spans="1:8" s="404" customFormat="1">
      <c r="A1034" s="2280"/>
      <c r="B1034" s="2281"/>
      <c r="C1034" s="2223" t="s">
        <v>1124</v>
      </c>
      <c r="D1034" s="2224"/>
      <c r="E1034" s="2225"/>
      <c r="F1034" s="557">
        <v>614</v>
      </c>
      <c r="G1034" s="548"/>
      <c r="H1034" s="550">
        <v>266601</v>
      </c>
    </row>
    <row r="1035" spans="1:8" s="404" customFormat="1">
      <c r="A1035" s="2280"/>
      <c r="B1035" s="2281"/>
      <c r="C1035" s="2223" t="s">
        <v>1896</v>
      </c>
      <c r="D1035" s="2224"/>
      <c r="E1035" s="2225"/>
      <c r="F1035" s="557">
        <v>625</v>
      </c>
      <c r="G1035" s="548"/>
      <c r="H1035" s="550">
        <v>278999</v>
      </c>
    </row>
    <row r="1036" spans="1:8" s="404" customFormat="1">
      <c r="A1036" s="2280"/>
      <c r="B1036" s="2281"/>
      <c r="C1036" s="2223" t="s">
        <v>1125</v>
      </c>
      <c r="D1036" s="2224"/>
      <c r="E1036" s="2225"/>
      <c r="F1036" s="557">
        <v>64</v>
      </c>
      <c r="G1036" s="548"/>
      <c r="H1036" s="550">
        <v>1844827</v>
      </c>
    </row>
    <row r="1037" spans="1:8" s="404" customFormat="1">
      <c r="A1037" s="2280"/>
      <c r="B1037" s="2281"/>
      <c r="C1037" s="2223" t="s">
        <v>1126</v>
      </c>
      <c r="D1037" s="2224"/>
      <c r="E1037" s="2225"/>
      <c r="F1037" s="557">
        <v>64</v>
      </c>
      <c r="G1037" s="548"/>
      <c r="H1037" s="550">
        <v>472220</v>
      </c>
    </row>
    <row r="1038" spans="1:8" s="404" customFormat="1">
      <c r="A1038" s="2280"/>
      <c r="B1038" s="2281"/>
      <c r="C1038" s="2223" t="s">
        <v>1127</v>
      </c>
      <c r="D1038" s="2224"/>
      <c r="E1038" s="2225"/>
      <c r="F1038" s="557">
        <v>647</v>
      </c>
      <c r="G1038" s="548"/>
      <c r="H1038" s="550">
        <v>641216</v>
      </c>
    </row>
    <row r="1039" spans="1:8" s="404" customFormat="1">
      <c r="A1039" s="2280"/>
      <c r="B1039" s="2281"/>
      <c r="C1039" s="2223" t="s">
        <v>1473</v>
      </c>
      <c r="D1039" s="2224"/>
      <c r="E1039" s="2225"/>
      <c r="F1039" s="1962">
        <v>678</v>
      </c>
      <c r="G1039" s="548"/>
      <c r="H1039" s="550">
        <v>766064</v>
      </c>
    </row>
    <row r="1040" spans="1:8" s="404" customFormat="1">
      <c r="A1040" s="2280"/>
      <c r="B1040" s="2281"/>
      <c r="C1040" s="2223" t="s">
        <v>1111</v>
      </c>
      <c r="D1040" s="2224"/>
      <c r="E1040" s="2225"/>
      <c r="F1040" s="557">
        <v>707</v>
      </c>
      <c r="G1040" s="548"/>
      <c r="H1040" s="550">
        <v>379753</v>
      </c>
    </row>
    <row r="1041" spans="1:9" s="404" customFormat="1">
      <c r="A1041" s="2280"/>
      <c r="B1041" s="2281"/>
      <c r="C1041" s="2223" t="s">
        <v>1128</v>
      </c>
      <c r="D1041" s="2224"/>
      <c r="E1041" s="2225"/>
      <c r="F1041" s="557">
        <v>707</v>
      </c>
      <c r="G1041" s="548"/>
      <c r="H1041" s="550">
        <v>1467584</v>
      </c>
    </row>
    <row r="1042" spans="1:9" s="404" customFormat="1">
      <c r="A1042" s="2280"/>
      <c r="B1042" s="2281"/>
      <c r="C1042" s="2223" t="s">
        <v>1129</v>
      </c>
      <c r="D1042" s="2224"/>
      <c r="E1042" s="2225"/>
      <c r="F1042" s="557" t="s">
        <v>838</v>
      </c>
      <c r="G1042" s="548"/>
      <c r="H1042" s="550">
        <v>38863283</v>
      </c>
    </row>
    <row r="1043" spans="1:9" s="404" customFormat="1">
      <c r="A1043" s="2280"/>
      <c r="B1043" s="2281"/>
      <c r="C1043" s="2223" t="s">
        <v>1130</v>
      </c>
      <c r="D1043" s="2224"/>
      <c r="E1043" s="2225"/>
      <c r="F1043" s="557" t="s">
        <v>840</v>
      </c>
      <c r="G1043" s="548"/>
      <c r="H1043" s="550">
        <v>192499</v>
      </c>
    </row>
    <row r="1044" spans="1:9" s="404" customFormat="1">
      <c r="A1044" s="2280"/>
      <c r="B1044" s="2281"/>
      <c r="C1044" s="2223" t="s">
        <v>1131</v>
      </c>
      <c r="D1044" s="2224"/>
      <c r="E1044" s="2225"/>
      <c r="F1044" s="1960" t="s">
        <v>842</v>
      </c>
      <c r="G1044" s="548"/>
      <c r="H1044" s="550">
        <v>457559</v>
      </c>
    </row>
    <row r="1045" spans="1:9" s="404" customFormat="1">
      <c r="A1045" s="2280"/>
      <c r="B1045" s="2281"/>
      <c r="C1045" s="2223" t="s">
        <v>1132</v>
      </c>
      <c r="D1045" s="2224"/>
      <c r="E1045" s="2225"/>
      <c r="F1045" s="557" t="s">
        <v>844</v>
      </c>
      <c r="G1045" s="548"/>
      <c r="H1045" s="550">
        <v>291313</v>
      </c>
    </row>
    <row r="1046" spans="1:9" s="404" customFormat="1">
      <c r="A1046" s="2280"/>
      <c r="B1046" s="2281"/>
      <c r="C1046" s="2223" t="s">
        <v>1108</v>
      </c>
      <c r="D1046" s="2224"/>
      <c r="E1046" s="2225"/>
      <c r="F1046" s="557" t="s">
        <v>847</v>
      </c>
      <c r="G1046" s="548"/>
      <c r="H1046" s="550">
        <v>1643757</v>
      </c>
    </row>
    <row r="1047" spans="1:9" s="404" customFormat="1">
      <c r="A1047" s="2280"/>
      <c r="B1047" s="2281"/>
      <c r="C1047" s="2223" t="s">
        <v>1133</v>
      </c>
      <c r="D1047" s="2224"/>
      <c r="E1047" s="2225"/>
      <c r="F1047" s="1960" t="s">
        <v>849</v>
      </c>
      <c r="G1047" s="548"/>
      <c r="H1047" s="550">
        <v>148788</v>
      </c>
    </row>
    <row r="1048" spans="1:9" s="404" customFormat="1">
      <c r="A1048" s="2280"/>
      <c r="B1048" s="2281"/>
      <c r="C1048" s="2223" t="s">
        <v>1134</v>
      </c>
      <c r="D1048" s="2224"/>
      <c r="E1048" s="2225"/>
      <c r="F1048" s="557" t="s">
        <v>855</v>
      </c>
      <c r="G1048" s="548"/>
      <c r="H1048" s="550">
        <v>91141</v>
      </c>
      <c r="I1048" s="1925"/>
    </row>
    <row r="1049" spans="1:9" s="404" customFormat="1">
      <c r="A1049" s="2280"/>
      <c r="B1049" s="2281"/>
      <c r="C1049" s="2223" t="s">
        <v>1135</v>
      </c>
      <c r="D1049" s="2224"/>
      <c r="E1049" s="2225"/>
      <c r="F1049" s="557" t="s">
        <v>857</v>
      </c>
      <c r="G1049" s="548"/>
      <c r="H1049" s="550">
        <v>916995</v>
      </c>
      <c r="I1049" s="1925"/>
    </row>
    <row r="1050" spans="1:9" s="404" customFormat="1">
      <c r="A1050" s="2280"/>
      <c r="B1050" s="2281"/>
      <c r="C1050" s="2223" t="s">
        <v>1136</v>
      </c>
      <c r="D1050" s="2224"/>
      <c r="E1050" s="2225"/>
      <c r="F1050" s="557" t="s">
        <v>857</v>
      </c>
      <c r="G1050" s="548"/>
      <c r="H1050" s="550">
        <v>200879</v>
      </c>
      <c r="I1050" s="1925"/>
    </row>
    <row r="1051" spans="1:9" s="404" customFormat="1">
      <c r="A1051" s="2280"/>
      <c r="B1051" s="2281"/>
      <c r="C1051" s="2223" t="s">
        <v>1137</v>
      </c>
      <c r="D1051" s="2224"/>
      <c r="E1051" s="2225"/>
      <c r="F1051" s="557" t="s">
        <v>860</v>
      </c>
      <c r="G1051" s="548"/>
      <c r="H1051" s="550">
        <v>2248120</v>
      </c>
      <c r="I1051" s="1925"/>
    </row>
    <row r="1052" spans="1:9" s="404" customFormat="1">
      <c r="A1052" s="2280"/>
      <c r="B1052" s="2281"/>
      <c r="C1052" s="2223" t="s">
        <v>1138</v>
      </c>
      <c r="D1052" s="2224"/>
      <c r="E1052" s="2225"/>
      <c r="F1052" s="557" t="s">
        <v>860</v>
      </c>
      <c r="G1052" s="548"/>
      <c r="H1052" s="550">
        <v>498671</v>
      </c>
      <c r="I1052" s="1925"/>
    </row>
    <row r="1053" spans="1:9" s="404" customFormat="1">
      <c r="A1053" s="2280"/>
      <c r="B1053" s="2281"/>
      <c r="C1053" s="2223" t="s">
        <v>1134</v>
      </c>
      <c r="D1053" s="2224"/>
      <c r="E1053" s="2225"/>
      <c r="F1053" s="557" t="s">
        <v>861</v>
      </c>
      <c r="G1053" s="548"/>
      <c r="H1053" s="550">
        <v>228792</v>
      </c>
      <c r="I1053" s="1925"/>
    </row>
    <row r="1054" spans="1:9" s="404" customFormat="1">
      <c r="A1054" s="2280"/>
      <c r="B1054" s="2281"/>
      <c r="C1054" s="2223" t="s">
        <v>1909</v>
      </c>
      <c r="D1054" s="2224"/>
      <c r="E1054" s="2225"/>
      <c r="F1054" s="557" t="s">
        <v>863</v>
      </c>
      <c r="G1054" s="548"/>
      <c r="H1054" s="550">
        <v>1844487</v>
      </c>
      <c r="I1054" s="1925"/>
    </row>
    <row r="1055" spans="1:9" s="404" customFormat="1">
      <c r="A1055" s="2280"/>
      <c r="B1055" s="2281"/>
      <c r="C1055" s="2223" t="s">
        <v>1909</v>
      </c>
      <c r="D1055" s="2224"/>
      <c r="E1055" s="2225"/>
      <c r="F1055" s="557" t="s">
        <v>866</v>
      </c>
      <c r="G1055" s="548"/>
      <c r="H1055" s="550">
        <v>2490233</v>
      </c>
      <c r="I1055" s="1925"/>
    </row>
    <row r="1056" spans="1:9" s="404" customFormat="1">
      <c r="A1056" s="2280"/>
      <c r="B1056" s="2281"/>
      <c r="C1056" s="2223" t="s">
        <v>1910</v>
      </c>
      <c r="D1056" s="2224"/>
      <c r="E1056" s="2225"/>
      <c r="F1056" s="557" t="s">
        <v>867</v>
      </c>
      <c r="G1056" s="548"/>
      <c r="H1056" s="550">
        <v>4443232</v>
      </c>
      <c r="I1056" s="1925"/>
    </row>
    <row r="1057" spans="1:9" s="404" customFormat="1">
      <c r="A1057" s="2280"/>
      <c r="B1057" s="2281"/>
      <c r="C1057" s="2223" t="s">
        <v>1911</v>
      </c>
      <c r="D1057" s="2224"/>
      <c r="E1057" s="2225"/>
      <c r="F1057" s="557" t="s">
        <v>868</v>
      </c>
      <c r="G1057" s="548"/>
      <c r="H1057" s="550">
        <v>4068736</v>
      </c>
      <c r="I1057" s="1925"/>
    </row>
    <row r="1058" spans="1:9" s="404" customFormat="1">
      <c r="A1058" s="2280"/>
      <c r="B1058" s="2281"/>
      <c r="C1058" s="2223" t="s">
        <v>1910</v>
      </c>
      <c r="D1058" s="2224"/>
      <c r="E1058" s="2225"/>
      <c r="F1058" s="557" t="s">
        <v>862</v>
      </c>
      <c r="G1058" s="548"/>
      <c r="H1058" s="550">
        <v>10276192</v>
      </c>
      <c r="I1058" s="1925"/>
    </row>
    <row r="1059" spans="1:9" s="404" customFormat="1">
      <c r="A1059" s="2280"/>
      <c r="B1059" s="2281"/>
      <c r="C1059" s="2223" t="s">
        <v>1127</v>
      </c>
      <c r="D1059" s="2224"/>
      <c r="E1059" s="2225"/>
      <c r="F1059" s="557">
        <v>717</v>
      </c>
      <c r="G1059" s="548"/>
      <c r="H1059" s="550">
        <v>691315</v>
      </c>
      <c r="I1059" s="1925"/>
    </row>
    <row r="1060" spans="1:9" s="404" customFormat="1">
      <c r="A1060" s="2280"/>
      <c r="B1060" s="2281"/>
      <c r="C1060" s="2223" t="s">
        <v>1103</v>
      </c>
      <c r="D1060" s="2224"/>
      <c r="E1060" s="2225"/>
      <c r="F1060" s="557">
        <v>718</v>
      </c>
      <c r="G1060" s="548"/>
      <c r="H1060" s="550">
        <v>9322388</v>
      </c>
      <c r="I1060" s="1925"/>
    </row>
    <row r="1061" spans="1:9" s="404" customFormat="1">
      <c r="A1061" s="2280"/>
      <c r="B1061" s="2281"/>
      <c r="C1061" s="2223" t="s">
        <v>1899</v>
      </c>
      <c r="D1061" s="2224"/>
      <c r="E1061" s="2225"/>
      <c r="F1061" s="557">
        <v>762</v>
      </c>
      <c r="G1061" s="548"/>
      <c r="H1061" s="550">
        <v>681985</v>
      </c>
      <c r="I1061" s="1925"/>
    </row>
    <row r="1062" spans="1:9" s="404" customFormat="1">
      <c r="A1062" s="2280"/>
      <c r="B1062" s="2281"/>
      <c r="C1062" s="2223" t="s">
        <v>1108</v>
      </c>
      <c r="D1062" s="2224"/>
      <c r="E1062" s="2225"/>
      <c r="F1062" s="557">
        <v>779</v>
      </c>
      <c r="G1062" s="548"/>
      <c r="H1062" s="550">
        <v>232497</v>
      </c>
      <c r="I1062" s="1925"/>
    </row>
    <row r="1063" spans="1:9" s="404" customFormat="1">
      <c r="A1063" s="2280"/>
      <c r="B1063" s="2281"/>
      <c r="C1063" s="2223" t="s">
        <v>1106</v>
      </c>
      <c r="D1063" s="2224"/>
      <c r="E1063" s="2225"/>
      <c r="F1063" s="557">
        <v>779</v>
      </c>
      <c r="G1063" s="548"/>
      <c r="H1063" s="550">
        <v>1209976</v>
      </c>
      <c r="I1063" s="1925"/>
    </row>
    <row r="1064" spans="1:9" s="404" customFormat="1">
      <c r="A1064" s="2280"/>
      <c r="B1064" s="2281"/>
      <c r="C1064" s="2223" t="s">
        <v>1487</v>
      </c>
      <c r="D1064" s="2224"/>
      <c r="E1064" s="2225"/>
      <c r="F1064" s="557" t="s">
        <v>832</v>
      </c>
      <c r="G1064" s="548"/>
      <c r="H1064" s="550">
        <v>800715</v>
      </c>
    </row>
    <row r="1065" spans="1:9" s="404" customFormat="1">
      <c r="A1065" s="2280"/>
      <c r="B1065" s="2281"/>
      <c r="C1065" s="2223" t="s">
        <v>1912</v>
      </c>
      <c r="D1065" s="2224"/>
      <c r="E1065" s="2225"/>
      <c r="F1065" s="557" t="s">
        <v>770</v>
      </c>
      <c r="G1065" s="548"/>
      <c r="H1065" s="550">
        <v>63272407</v>
      </c>
    </row>
    <row r="1066" spans="1:9" s="404" customFormat="1">
      <c r="A1066" s="2280"/>
      <c r="B1066" s="2281"/>
      <c r="C1066" s="2223" t="s">
        <v>1913</v>
      </c>
      <c r="D1066" s="2224"/>
      <c r="E1066" s="2225"/>
      <c r="F1066" s="557" t="s">
        <v>873</v>
      </c>
      <c r="G1066" s="548"/>
      <c r="H1066" s="550">
        <v>1919113</v>
      </c>
    </row>
    <row r="1067" spans="1:9" s="404" customFormat="1">
      <c r="A1067" s="2280"/>
      <c r="B1067" s="2281"/>
      <c r="C1067" s="2223" t="s">
        <v>1139</v>
      </c>
      <c r="D1067" s="2224"/>
      <c r="E1067" s="2225"/>
      <c r="F1067" s="557" t="s">
        <v>876</v>
      </c>
      <c r="G1067" s="548"/>
      <c r="H1067" s="550">
        <v>7737926</v>
      </c>
    </row>
    <row r="1068" spans="1:9" s="404" customFormat="1">
      <c r="A1068" s="2280"/>
      <c r="B1068" s="2281"/>
      <c r="C1068" s="2223" t="s">
        <v>1140</v>
      </c>
      <c r="D1068" s="2224"/>
      <c r="E1068" s="2225"/>
      <c r="F1068" s="557" t="s">
        <v>551</v>
      </c>
      <c r="G1068" s="548"/>
      <c r="H1068" s="550">
        <v>821499</v>
      </c>
    </row>
    <row r="1069" spans="1:9" s="404" customFormat="1">
      <c r="A1069" s="2280"/>
      <c r="B1069" s="2281"/>
      <c r="C1069" s="2223" t="s">
        <v>1857</v>
      </c>
      <c r="D1069" s="2224"/>
      <c r="E1069" s="2225"/>
      <c r="F1069" s="1960" t="s">
        <v>553</v>
      </c>
      <c r="G1069" s="548"/>
      <c r="H1069" s="550">
        <v>253596</v>
      </c>
    </row>
    <row r="1070" spans="1:9" s="404" customFormat="1">
      <c r="A1070" s="2280"/>
      <c r="B1070" s="2281"/>
      <c r="C1070" s="2223" t="s">
        <v>1141</v>
      </c>
      <c r="D1070" s="2224"/>
      <c r="E1070" s="2225"/>
      <c r="F1070" s="557" t="s">
        <v>878</v>
      </c>
      <c r="G1070" s="548"/>
      <c r="H1070" s="550">
        <v>1779399</v>
      </c>
    </row>
    <row r="1071" spans="1:9" s="404" customFormat="1">
      <c r="A1071" s="2280"/>
      <c r="B1071" s="2281"/>
      <c r="C1071" s="2223" t="s">
        <v>1142</v>
      </c>
      <c r="D1071" s="2224"/>
      <c r="E1071" s="2225"/>
      <c r="F1071" s="557" t="s">
        <v>881</v>
      </c>
      <c r="G1071" s="548"/>
      <c r="H1071" s="550">
        <v>23111916</v>
      </c>
    </row>
    <row r="1072" spans="1:9" s="404" customFormat="1">
      <c r="A1072" s="2280"/>
      <c r="B1072" s="2281"/>
      <c r="C1072" s="2223" t="s">
        <v>1893</v>
      </c>
      <c r="D1072" s="2224"/>
      <c r="E1072" s="2225"/>
      <c r="F1072" s="557" t="s">
        <v>882</v>
      </c>
      <c r="G1072" s="548"/>
      <c r="H1072" s="550">
        <v>1764746</v>
      </c>
    </row>
    <row r="1073" spans="1:9" s="404" customFormat="1">
      <c r="A1073" s="2280"/>
      <c r="B1073" s="2281"/>
      <c r="C1073" s="2223" t="s">
        <v>1143</v>
      </c>
      <c r="D1073" s="2224"/>
      <c r="E1073" s="2225"/>
      <c r="F1073" s="557" t="s">
        <v>886</v>
      </c>
      <c r="G1073" s="548"/>
      <c r="H1073" s="550">
        <v>1747768</v>
      </c>
    </row>
    <row r="1074" spans="1:9" s="404" customFormat="1">
      <c r="A1074" s="2280"/>
      <c r="B1074" s="2281"/>
      <c r="C1074" s="2223" t="s">
        <v>1886</v>
      </c>
      <c r="D1074" s="2224"/>
      <c r="E1074" s="2225"/>
      <c r="F1074" s="1960" t="s">
        <v>1010</v>
      </c>
      <c r="G1074" s="548"/>
      <c r="H1074" s="550">
        <v>10799</v>
      </c>
      <c r="I1074" s="1925"/>
    </row>
    <row r="1075" spans="1:9" s="404" customFormat="1">
      <c r="A1075" s="2280"/>
      <c r="B1075" s="2281"/>
      <c r="C1075" s="2223" t="s">
        <v>1141</v>
      </c>
      <c r="D1075" s="2224"/>
      <c r="E1075" s="2225"/>
      <c r="F1075" s="557" t="s">
        <v>879</v>
      </c>
      <c r="G1075" s="548"/>
      <c r="H1075" s="550">
        <v>1369892</v>
      </c>
      <c r="I1075" s="1985"/>
    </row>
    <row r="1076" spans="1:9" s="404" customFormat="1">
      <c r="A1076" s="2280"/>
      <c r="B1076" s="2281"/>
      <c r="C1076" s="2223" t="s">
        <v>1893</v>
      </c>
      <c r="D1076" s="2224"/>
      <c r="E1076" s="2225"/>
      <c r="F1076" s="557" t="s">
        <v>884</v>
      </c>
      <c r="G1076" s="548"/>
      <c r="H1076" s="550">
        <v>1418873</v>
      </c>
      <c r="I1076" s="1925"/>
    </row>
    <row r="1077" spans="1:9" s="404" customFormat="1">
      <c r="A1077" s="2280"/>
      <c r="B1077" s="2281"/>
      <c r="C1077" s="2223" t="s">
        <v>1144</v>
      </c>
      <c r="D1077" s="2224"/>
      <c r="E1077" s="2225"/>
      <c r="F1077" s="1960" t="s">
        <v>1145</v>
      </c>
      <c r="G1077" s="548"/>
      <c r="H1077" s="550">
        <v>33457666</v>
      </c>
      <c r="I1077" s="1925"/>
    </row>
    <row r="1078" spans="1:9" s="404" customFormat="1">
      <c r="A1078" s="2280"/>
      <c r="B1078" s="2281"/>
      <c r="C1078" s="2223" t="s">
        <v>1146</v>
      </c>
      <c r="D1078" s="2224"/>
      <c r="E1078" s="2225"/>
      <c r="F1078" s="557" t="s">
        <v>888</v>
      </c>
      <c r="G1078" s="548"/>
      <c r="H1078" s="550">
        <v>3356738</v>
      </c>
      <c r="I1078" s="1925"/>
    </row>
    <row r="1079" spans="1:9" s="404" customFormat="1">
      <c r="A1079" s="2280"/>
      <c r="B1079" s="2281"/>
      <c r="C1079" s="2223" t="s">
        <v>1147</v>
      </c>
      <c r="D1079" s="2224"/>
      <c r="E1079" s="2225"/>
      <c r="F1079" s="557" t="s">
        <v>890</v>
      </c>
      <c r="G1079" s="548"/>
      <c r="H1079" s="550">
        <v>919771</v>
      </c>
      <c r="I1079" s="1925"/>
    </row>
    <row r="1080" spans="1:9" s="404" customFormat="1">
      <c r="A1080" s="2280"/>
      <c r="B1080" s="2281"/>
      <c r="C1080" s="2223" t="s">
        <v>1148</v>
      </c>
      <c r="D1080" s="2224"/>
      <c r="E1080" s="2225"/>
      <c r="F1080" s="557" t="s">
        <v>892</v>
      </c>
      <c r="G1080" s="548"/>
      <c r="H1080" s="550">
        <v>1239984</v>
      </c>
      <c r="I1080" s="1925"/>
    </row>
    <row r="1081" spans="1:9" s="404" customFormat="1">
      <c r="A1081" s="2280"/>
      <c r="B1081" s="2281"/>
      <c r="C1081" s="2223" t="s">
        <v>1149</v>
      </c>
      <c r="D1081" s="2224"/>
      <c r="E1081" s="2225"/>
      <c r="F1081" s="557" t="s">
        <v>772</v>
      </c>
      <c r="G1081" s="548"/>
      <c r="H1081" s="550">
        <v>1077938</v>
      </c>
      <c r="I1081" s="1925"/>
    </row>
    <row r="1082" spans="1:9" s="404" customFormat="1">
      <c r="A1082" s="2280"/>
      <c r="B1082" s="2281"/>
      <c r="C1082" s="2223" t="s">
        <v>1149</v>
      </c>
      <c r="D1082" s="2224"/>
      <c r="E1082" s="2225"/>
      <c r="F1082" s="557" t="s">
        <v>898</v>
      </c>
      <c r="G1082" s="548"/>
      <c r="H1082" s="550">
        <v>2469557</v>
      </c>
      <c r="I1082" s="1925"/>
    </row>
    <row r="1083" spans="1:9" s="404" customFormat="1">
      <c r="A1083" s="2280"/>
      <c r="B1083" s="2281"/>
      <c r="C1083" s="2223" t="s">
        <v>1142</v>
      </c>
      <c r="D1083" s="2224"/>
      <c r="E1083" s="2225"/>
      <c r="F1083" s="557" t="s">
        <v>565</v>
      </c>
      <c r="G1083" s="548"/>
      <c r="H1083" s="550">
        <v>29040691</v>
      </c>
      <c r="I1083" s="1925"/>
    </row>
    <row r="1084" spans="1:9" s="404" customFormat="1">
      <c r="A1084" s="2280"/>
      <c r="B1084" s="2281"/>
      <c r="C1084" s="2223" t="s">
        <v>1148</v>
      </c>
      <c r="D1084" s="2224"/>
      <c r="E1084" s="2225"/>
      <c r="F1084" s="557" t="s">
        <v>893</v>
      </c>
      <c r="G1084" s="548"/>
      <c r="H1084" s="550">
        <v>5718620</v>
      </c>
      <c r="I1084" s="1925"/>
    </row>
    <row r="1085" spans="1:9" s="404" customFormat="1">
      <c r="A1085" s="2280"/>
      <c r="B1085" s="2281"/>
      <c r="C1085" s="2223" t="s">
        <v>1150</v>
      </c>
      <c r="D1085" s="2224"/>
      <c r="E1085" s="2225"/>
      <c r="F1085" s="557" t="s">
        <v>1151</v>
      </c>
      <c r="G1085" s="548"/>
      <c r="H1085" s="550">
        <v>24196066</v>
      </c>
      <c r="I1085" s="1925"/>
    </row>
    <row r="1086" spans="1:9" s="404" customFormat="1">
      <c r="A1086" s="2280"/>
      <c r="B1086" s="2281"/>
      <c r="C1086" s="2223" t="s">
        <v>1152</v>
      </c>
      <c r="D1086" s="2224"/>
      <c r="E1086" s="2225"/>
      <c r="F1086" s="1960" t="s">
        <v>1151</v>
      </c>
      <c r="G1086" s="548"/>
      <c r="H1086" s="550">
        <v>244264</v>
      </c>
      <c r="I1086" s="1925"/>
    </row>
    <row r="1087" spans="1:9" s="404" customFormat="1">
      <c r="A1087" s="2280"/>
      <c r="B1087" s="2281"/>
      <c r="C1087" s="2223" t="s">
        <v>1153</v>
      </c>
      <c r="D1087" s="2224"/>
      <c r="E1087" s="2225"/>
      <c r="F1087" s="557">
        <v>830</v>
      </c>
      <c r="G1087" s="548"/>
      <c r="H1087" s="550">
        <v>2319433</v>
      </c>
      <c r="I1087" s="1925"/>
    </row>
    <row r="1088" spans="1:9" s="404" customFormat="1">
      <c r="A1088" s="2280"/>
      <c r="B1088" s="2281"/>
      <c r="C1088" s="2223" t="s">
        <v>1888</v>
      </c>
      <c r="D1088" s="2224"/>
      <c r="E1088" s="2225"/>
      <c r="F1088" s="557" t="s">
        <v>1154</v>
      </c>
      <c r="G1088" s="548"/>
      <c r="H1088" s="550">
        <v>2319433</v>
      </c>
      <c r="I1088" s="1925"/>
    </row>
    <row r="1089" spans="1:9" s="404" customFormat="1">
      <c r="A1089" s="2280"/>
      <c r="B1089" s="2281"/>
      <c r="C1089" s="2223" t="s">
        <v>1858</v>
      </c>
      <c r="D1089" s="2224"/>
      <c r="E1089" s="2225"/>
      <c r="F1089" s="557" t="s">
        <v>569</v>
      </c>
      <c r="G1089" s="548"/>
      <c r="H1089" s="550">
        <v>4992853</v>
      </c>
      <c r="I1089" s="1925"/>
    </row>
    <row r="1090" spans="1:9" s="404" customFormat="1">
      <c r="A1090" s="2280"/>
      <c r="B1090" s="2281"/>
      <c r="C1090" s="2223" t="s">
        <v>1859</v>
      </c>
      <c r="D1090" s="2224"/>
      <c r="E1090" s="2225"/>
      <c r="F1090" s="557" t="s">
        <v>907</v>
      </c>
      <c r="G1090" s="548"/>
      <c r="H1090" s="550">
        <v>165231</v>
      </c>
      <c r="I1090" s="1925"/>
    </row>
    <row r="1091" spans="1:9" s="404" customFormat="1">
      <c r="A1091" s="2280"/>
      <c r="B1091" s="2281"/>
      <c r="C1091" s="2223" t="s">
        <v>1155</v>
      </c>
      <c r="D1091" s="2224"/>
      <c r="E1091" s="2225"/>
      <c r="F1091" s="557" t="s">
        <v>994</v>
      </c>
      <c r="G1091" s="548"/>
      <c r="H1091" s="550">
        <v>5984860</v>
      </c>
      <c r="I1091" s="1925"/>
    </row>
    <row r="1092" spans="1:9" s="404" customFormat="1">
      <c r="A1092" s="2280"/>
      <c r="B1092" s="2281"/>
      <c r="C1092" s="2223" t="s">
        <v>1859</v>
      </c>
      <c r="D1092" s="2224"/>
      <c r="E1092" s="2225"/>
      <c r="F1092" s="557" t="s">
        <v>908</v>
      </c>
      <c r="G1092" s="548"/>
      <c r="H1092" s="550">
        <v>304111</v>
      </c>
      <c r="I1092" s="1925"/>
    </row>
    <row r="1093" spans="1:9" s="404" customFormat="1">
      <c r="A1093" s="2280"/>
      <c r="B1093" s="2281"/>
      <c r="C1093" s="2223" t="s">
        <v>1156</v>
      </c>
      <c r="D1093" s="2224"/>
      <c r="E1093" s="2225"/>
      <c r="F1093" s="557" t="s">
        <v>922</v>
      </c>
      <c r="G1093" s="548"/>
      <c r="H1093" s="550">
        <v>8921179</v>
      </c>
      <c r="I1093" s="1925"/>
    </row>
    <row r="1094" spans="1:9" s="404" customFormat="1">
      <c r="A1094" s="2280"/>
      <c r="B1094" s="2281"/>
      <c r="C1094" s="2223" t="s">
        <v>1157</v>
      </c>
      <c r="D1094" s="2224"/>
      <c r="E1094" s="2225"/>
      <c r="F1094" s="557" t="s">
        <v>591</v>
      </c>
      <c r="G1094" s="548"/>
      <c r="H1094" s="550">
        <v>32665</v>
      </c>
      <c r="I1094" s="1925"/>
    </row>
    <row r="1095" spans="1:9" s="404" customFormat="1">
      <c r="A1095" s="2280"/>
      <c r="B1095" s="2281"/>
      <c r="C1095" s="2223" t="s">
        <v>1158</v>
      </c>
      <c r="D1095" s="2224"/>
      <c r="E1095" s="2225"/>
      <c r="F1095" s="557" t="s">
        <v>1159</v>
      </c>
      <c r="G1095" s="548"/>
      <c r="H1095" s="550">
        <v>26335</v>
      </c>
      <c r="I1095" s="1925"/>
    </row>
    <row r="1096" spans="1:9" s="404" customFormat="1">
      <c r="A1096" s="2280"/>
      <c r="B1096" s="2281"/>
      <c r="C1096" s="2223" t="s">
        <v>1155</v>
      </c>
      <c r="D1096" s="2224"/>
      <c r="E1096" s="2225"/>
      <c r="F1096" s="557" t="s">
        <v>1019</v>
      </c>
      <c r="G1096" s="548"/>
      <c r="H1096" s="550">
        <v>16312849</v>
      </c>
      <c r="I1096" s="1925"/>
    </row>
    <row r="1097" spans="1:9" s="404" customFormat="1">
      <c r="A1097" s="2280"/>
      <c r="B1097" s="2281"/>
      <c r="C1097" s="2223" t="s">
        <v>1129</v>
      </c>
      <c r="D1097" s="2224"/>
      <c r="E1097" s="2225"/>
      <c r="F1097" s="557" t="s">
        <v>845</v>
      </c>
      <c r="G1097" s="548"/>
      <c r="H1097" s="550">
        <v>699040</v>
      </c>
      <c r="I1097" s="1925"/>
    </row>
    <row r="1098" spans="1:9" s="404" customFormat="1">
      <c r="A1098" s="2280"/>
      <c r="B1098" s="2281"/>
      <c r="C1098" s="2223" t="s">
        <v>1160</v>
      </c>
      <c r="D1098" s="2224"/>
      <c r="E1098" s="2225"/>
      <c r="F1098" s="557" t="s">
        <v>968</v>
      </c>
      <c r="G1098" s="548"/>
      <c r="H1098" s="550">
        <v>90758</v>
      </c>
      <c r="I1098" s="1925"/>
    </row>
    <row r="1099" spans="1:9" s="404" customFormat="1">
      <c r="A1099" s="2280"/>
      <c r="B1099" s="2281"/>
      <c r="C1099" s="2223" t="s">
        <v>1161</v>
      </c>
      <c r="D1099" s="2224"/>
      <c r="E1099" s="2225"/>
      <c r="F1099" s="1960" t="s">
        <v>975</v>
      </c>
      <c r="G1099" s="548"/>
      <c r="H1099" s="550">
        <v>22037</v>
      </c>
      <c r="I1099" s="1925"/>
    </row>
    <row r="1100" spans="1:9" s="404" customFormat="1">
      <c r="A1100" s="2280"/>
      <c r="B1100" s="2281"/>
      <c r="C1100" s="2223" t="s">
        <v>1162</v>
      </c>
      <c r="D1100" s="2224"/>
      <c r="E1100" s="2225"/>
      <c r="F1100" s="557" t="s">
        <v>557</v>
      </c>
      <c r="G1100" s="548"/>
      <c r="H1100" s="550">
        <v>315867</v>
      </c>
      <c r="I1100" s="1925"/>
    </row>
    <row r="1101" spans="1:9" s="404" customFormat="1">
      <c r="A1101" s="2280"/>
      <c r="B1101" s="2281"/>
      <c r="C1101" s="2223" t="s">
        <v>1881</v>
      </c>
      <c r="D1101" s="2224"/>
      <c r="E1101" s="2225"/>
      <c r="F1101" s="557"/>
      <c r="G1101" s="548"/>
      <c r="H1101" s="550">
        <v>120031</v>
      </c>
      <c r="I1101" s="1925"/>
    </row>
    <row r="1102" spans="1:9" s="404" customFormat="1">
      <c r="A1102" s="2280"/>
      <c r="B1102" s="2281"/>
      <c r="C1102" s="2223" t="s">
        <v>1163</v>
      </c>
      <c r="D1102" s="2224"/>
      <c r="E1102" s="2225"/>
      <c r="F1102" s="1986"/>
      <c r="G1102" s="548"/>
      <c r="H1102" s="550">
        <v>725258</v>
      </c>
      <c r="I1102" s="1925"/>
    </row>
    <row r="1103" spans="1:9" s="404" customFormat="1">
      <c r="A1103" s="2280"/>
      <c r="B1103" s="2281"/>
      <c r="C1103" s="2223" t="s">
        <v>1164</v>
      </c>
      <c r="D1103" s="2224"/>
      <c r="E1103" s="2225"/>
      <c r="F1103" s="1986"/>
      <c r="G1103" s="548"/>
      <c r="H1103" s="550">
        <v>396546</v>
      </c>
      <c r="I1103" s="1925"/>
    </row>
    <row r="1104" spans="1:9" s="404" customFormat="1">
      <c r="A1104" s="2280"/>
      <c r="B1104" s="2281"/>
      <c r="C1104" s="2223" t="s">
        <v>1165</v>
      </c>
      <c r="D1104" s="2224"/>
      <c r="E1104" s="2225"/>
      <c r="F1104" s="1960" t="s">
        <v>1166</v>
      </c>
      <c r="G1104" s="548"/>
      <c r="H1104" s="550">
        <v>232991</v>
      </c>
      <c r="I1104" s="1925"/>
    </row>
    <row r="1105" spans="1:9" s="404" customFormat="1">
      <c r="A1105" s="2280"/>
      <c r="B1105" s="2281"/>
      <c r="C1105" s="2223" t="s">
        <v>1167</v>
      </c>
      <c r="D1105" s="2224"/>
      <c r="E1105" s="2225"/>
      <c r="F1105" s="557" t="s">
        <v>886</v>
      </c>
      <c r="G1105" s="548"/>
      <c r="H1105" s="550">
        <v>61705</v>
      </c>
      <c r="I1105" s="1925"/>
    </row>
    <row r="1106" spans="1:9" s="404" customFormat="1">
      <c r="A1106" s="2280"/>
      <c r="B1106" s="2281"/>
      <c r="C1106" s="2223" t="s">
        <v>1168</v>
      </c>
      <c r="D1106" s="2224"/>
      <c r="E1106" s="2225"/>
      <c r="F1106" s="557" t="s">
        <v>1033</v>
      </c>
      <c r="G1106" s="548"/>
      <c r="H1106" s="550">
        <v>79999</v>
      </c>
      <c r="I1106" s="1925"/>
    </row>
    <row r="1107" spans="1:9" s="404" customFormat="1">
      <c r="A1107" s="2280"/>
      <c r="B1107" s="2281"/>
      <c r="C1107" s="2223" t="s">
        <v>1169</v>
      </c>
      <c r="D1107" s="2224"/>
      <c r="E1107" s="2225"/>
      <c r="F1107" s="1960" t="s">
        <v>1170</v>
      </c>
      <c r="G1107" s="548"/>
      <c r="H1107" s="550">
        <v>114988</v>
      </c>
      <c r="I1107" s="1925"/>
    </row>
    <row r="1108" spans="1:9" s="404" customFormat="1">
      <c r="A1108" s="2280"/>
      <c r="B1108" s="2281"/>
      <c r="C1108" s="2223" t="s">
        <v>1171</v>
      </c>
      <c r="D1108" s="2224"/>
      <c r="E1108" s="2225"/>
      <c r="F1108" s="557" t="s">
        <v>701</v>
      </c>
      <c r="G1108" s="548"/>
      <c r="H1108" s="550">
        <v>19800</v>
      </c>
      <c r="I1108" s="1925"/>
    </row>
    <row r="1109" spans="1:9" s="404" customFormat="1">
      <c r="A1109" s="2280"/>
      <c r="B1109" s="2281"/>
      <c r="C1109" s="2223" t="s">
        <v>1172</v>
      </c>
      <c r="D1109" s="2224"/>
      <c r="E1109" s="2225"/>
      <c r="F1109" s="557" t="s">
        <v>1033</v>
      </c>
      <c r="G1109" s="548"/>
      <c r="H1109" s="550">
        <v>130700</v>
      </c>
      <c r="I1109" s="1925"/>
    </row>
    <row r="1110" spans="1:9" s="404" customFormat="1">
      <c r="A1110" s="2280"/>
      <c r="B1110" s="2281"/>
      <c r="C1110" s="2223" t="s">
        <v>1173</v>
      </c>
      <c r="D1110" s="2224"/>
      <c r="E1110" s="2225"/>
      <c r="F1110" s="557" t="s">
        <v>750</v>
      </c>
      <c r="G1110" s="548"/>
      <c r="H1110" s="550">
        <v>1836399</v>
      </c>
      <c r="I1110" s="1925"/>
    </row>
    <row r="1111" spans="1:9" s="404" customFormat="1">
      <c r="A1111" s="2280"/>
      <c r="B1111" s="2281"/>
      <c r="C1111" s="2223" t="s">
        <v>1174</v>
      </c>
      <c r="D1111" s="2224"/>
      <c r="E1111" s="2225"/>
      <c r="F1111" s="557" t="s">
        <v>1175</v>
      </c>
      <c r="G1111" s="548"/>
      <c r="H1111" s="550">
        <v>933660</v>
      </c>
      <c r="I1111" s="1925"/>
    </row>
    <row r="1112" spans="1:9" s="404" customFormat="1">
      <c r="A1112" s="2280"/>
      <c r="B1112" s="2281"/>
      <c r="C1112" s="2223" t="s">
        <v>1176</v>
      </c>
      <c r="D1112" s="2224"/>
      <c r="E1112" s="2225"/>
      <c r="F1112" s="557" t="s">
        <v>1033</v>
      </c>
      <c r="G1112" s="548"/>
      <c r="H1112" s="550">
        <v>1359149</v>
      </c>
      <c r="I1112" s="1925"/>
    </row>
    <row r="1113" spans="1:9" s="404" customFormat="1">
      <c r="A1113" s="2280"/>
      <c r="B1113" s="2281"/>
      <c r="C1113" s="2223" t="s">
        <v>1171</v>
      </c>
      <c r="D1113" s="2224"/>
      <c r="E1113" s="2225"/>
      <c r="F1113" s="557" t="s">
        <v>1177</v>
      </c>
      <c r="G1113" s="548"/>
      <c r="H1113" s="550">
        <v>700148</v>
      </c>
      <c r="I1113" s="1925"/>
    </row>
    <row r="1114" spans="1:9" s="404" customFormat="1">
      <c r="A1114" s="2280"/>
      <c r="B1114" s="2281"/>
      <c r="C1114" s="2223" t="s">
        <v>1158</v>
      </c>
      <c r="D1114" s="2224"/>
      <c r="E1114" s="2225"/>
      <c r="F1114" s="557" t="s">
        <v>1159</v>
      </c>
      <c r="G1114" s="548"/>
      <c r="H1114" s="550">
        <v>182015</v>
      </c>
      <c r="I1114" s="1925"/>
    </row>
    <row r="1115" spans="1:9" s="404" customFormat="1">
      <c r="A1115" s="2280"/>
      <c r="B1115" s="2281"/>
      <c r="C1115" s="2223" t="s">
        <v>1178</v>
      </c>
      <c r="D1115" s="2224"/>
      <c r="E1115" s="2225"/>
      <c r="F1115" s="557" t="s">
        <v>1179</v>
      </c>
      <c r="G1115" s="548"/>
      <c r="H1115" s="550">
        <v>217879</v>
      </c>
    </row>
    <row r="1116" spans="1:9" s="404" customFormat="1">
      <c r="A1116" s="2280"/>
      <c r="B1116" s="2281"/>
      <c r="C1116" s="2223" t="s">
        <v>1180</v>
      </c>
      <c r="D1116" s="2224"/>
      <c r="E1116" s="2225"/>
      <c r="F1116" s="1960" t="s">
        <v>945</v>
      </c>
      <c r="G1116" s="548"/>
      <c r="H1116" s="550">
        <v>43939</v>
      </c>
    </row>
    <row r="1117" spans="1:9" s="404" customFormat="1">
      <c r="A1117" s="2280"/>
      <c r="B1117" s="2281"/>
      <c r="C1117" s="2223" t="s">
        <v>1181</v>
      </c>
      <c r="D1117" s="2224"/>
      <c r="E1117" s="2225"/>
      <c r="F1117" s="1960" t="s">
        <v>1182</v>
      </c>
      <c r="G1117" s="548"/>
      <c r="H1117" s="550">
        <v>33918</v>
      </c>
    </row>
    <row r="1118" spans="1:9" s="404" customFormat="1">
      <c r="A1118" s="2280"/>
      <c r="B1118" s="2281"/>
      <c r="C1118" s="2223" t="s">
        <v>1183</v>
      </c>
      <c r="D1118" s="2224"/>
      <c r="E1118" s="2225"/>
      <c r="F1118" s="557" t="s">
        <v>825</v>
      </c>
      <c r="G1118" s="548"/>
      <c r="H1118" s="550">
        <v>77999</v>
      </c>
    </row>
    <row r="1119" spans="1:9" s="404" customFormat="1">
      <c r="A1119" s="2280"/>
      <c r="B1119" s="2281"/>
      <c r="C1119" s="2223" t="s">
        <v>1184</v>
      </c>
      <c r="D1119" s="2224"/>
      <c r="E1119" s="2225"/>
      <c r="F1119" s="557">
        <v>520</v>
      </c>
      <c r="G1119" s="548"/>
      <c r="H1119" s="550">
        <v>83212</v>
      </c>
    </row>
    <row r="1120" spans="1:9" s="404" customFormat="1">
      <c r="A1120" s="2280"/>
      <c r="B1120" s="2281"/>
      <c r="C1120" s="2223" t="s">
        <v>1185</v>
      </c>
      <c r="D1120" s="2224"/>
      <c r="E1120" s="2225"/>
      <c r="F1120" s="557" t="s">
        <v>1186</v>
      </c>
      <c r="G1120" s="548"/>
      <c r="H1120" s="550">
        <v>53857543</v>
      </c>
    </row>
    <row r="1121" spans="1:9" s="404" customFormat="1">
      <c r="A1121" s="2280"/>
      <c r="B1121" s="2281"/>
      <c r="C1121" s="2223" t="s">
        <v>1187</v>
      </c>
      <c r="D1121" s="2224"/>
      <c r="E1121" s="2225"/>
      <c r="F1121" s="557" t="s">
        <v>949</v>
      </c>
      <c r="G1121" s="548"/>
      <c r="H1121" s="550">
        <v>260783</v>
      </c>
    </row>
    <row r="1122" spans="1:9" s="404" customFormat="1" ht="15.75" customHeight="1">
      <c r="A1122" s="2280"/>
      <c r="B1122" s="2281"/>
      <c r="C1122" s="2223" t="s">
        <v>1188</v>
      </c>
      <c r="D1122" s="2224"/>
      <c r="E1122" s="2225"/>
      <c r="F1122" s="557" t="s">
        <v>955</v>
      </c>
      <c r="G1122" s="548"/>
      <c r="H1122" s="550">
        <v>7478515</v>
      </c>
    </row>
    <row r="1123" spans="1:9" s="404" customFormat="1">
      <c r="A1123" s="2280"/>
      <c r="B1123" s="2281"/>
      <c r="C1123" s="2223" t="s">
        <v>1157</v>
      </c>
      <c r="D1123" s="2224"/>
      <c r="E1123" s="2225"/>
      <c r="F1123" s="557" t="s">
        <v>1179</v>
      </c>
      <c r="G1123" s="1733"/>
      <c r="H1123" s="550">
        <v>49454</v>
      </c>
      <c r="I1123" s="1985"/>
    </row>
    <row r="1124" spans="1:9" s="404" customFormat="1">
      <c r="A1124" s="2280"/>
      <c r="B1124" s="2281"/>
      <c r="C1124" s="2223" t="s">
        <v>1189</v>
      </c>
      <c r="D1124" s="2224"/>
      <c r="E1124" s="2225"/>
      <c r="F1124" s="557" t="s">
        <v>1190</v>
      </c>
      <c r="G1124" s="1733"/>
      <c r="H1124" s="550">
        <v>295187</v>
      </c>
      <c r="I1124" s="1985"/>
    </row>
    <row r="1125" spans="1:9" s="404" customFormat="1">
      <c r="A1125" s="2280"/>
      <c r="B1125" s="2281"/>
      <c r="C1125" s="2223" t="s">
        <v>1191</v>
      </c>
      <c r="D1125" s="2224"/>
      <c r="E1125" s="2225"/>
      <c r="F1125" s="557" t="s">
        <v>922</v>
      </c>
      <c r="G1125" s="548"/>
      <c r="H1125" s="550">
        <v>630713</v>
      </c>
    </row>
    <row r="1126" spans="1:9" s="404" customFormat="1">
      <c r="A1126" s="2280"/>
      <c r="B1126" s="2281"/>
      <c r="C1126" s="2223" t="s">
        <v>1192</v>
      </c>
      <c r="D1126" s="2224"/>
      <c r="E1126" s="2225"/>
      <c r="F1126" s="557" t="s">
        <v>926</v>
      </c>
      <c r="G1126" s="548"/>
      <c r="H1126" s="550">
        <v>512530</v>
      </c>
      <c r="I1126" s="1972"/>
    </row>
    <row r="1127" spans="1:9" s="404" customFormat="1">
      <c r="A1127" s="2280"/>
      <c r="B1127" s="2281"/>
      <c r="C1127" s="2223" t="s">
        <v>1193</v>
      </c>
      <c r="D1127" s="2224"/>
      <c r="E1127" s="2225"/>
      <c r="F1127" s="557" t="s">
        <v>1194</v>
      </c>
      <c r="G1127" s="548"/>
      <c r="H1127" s="550">
        <v>756919</v>
      </c>
    </row>
    <row r="1128" spans="1:9" s="404" customFormat="1">
      <c r="A1128" s="2280"/>
      <c r="B1128" s="2281"/>
      <c r="C1128" s="2223" t="s">
        <v>1195</v>
      </c>
      <c r="D1128" s="2224"/>
      <c r="E1128" s="2225"/>
      <c r="F1128" s="557" t="s">
        <v>821</v>
      </c>
      <c r="G1128" s="548"/>
      <c r="H1128" s="550">
        <v>299800</v>
      </c>
      <c r="I1128" s="1987"/>
    </row>
    <row r="1129" spans="1:9" s="404" customFormat="1">
      <c r="A1129" s="2280"/>
      <c r="B1129" s="2281"/>
      <c r="C1129" s="2223" t="s">
        <v>1196</v>
      </c>
      <c r="D1129" s="2224"/>
      <c r="E1129" s="2225"/>
      <c r="F1129" s="1960" t="s">
        <v>844</v>
      </c>
      <c r="G1129" s="548"/>
      <c r="H1129" s="550">
        <v>46239</v>
      </c>
      <c r="I1129" s="1987"/>
    </row>
    <row r="1130" spans="1:9" s="404" customFormat="1">
      <c r="A1130" s="2280"/>
      <c r="B1130" s="2281"/>
      <c r="C1130" s="2223" t="s">
        <v>1197</v>
      </c>
      <c r="D1130" s="2224"/>
      <c r="E1130" s="2225"/>
      <c r="F1130" s="557" t="s">
        <v>750</v>
      </c>
      <c r="G1130" s="548"/>
      <c r="H1130" s="550">
        <v>1588641</v>
      </c>
    </row>
    <row r="1131" spans="1:9" s="404" customFormat="1">
      <c r="A1131" s="2280"/>
      <c r="B1131" s="2281"/>
      <c r="C1131" s="2223" t="s">
        <v>1130</v>
      </c>
      <c r="D1131" s="2224"/>
      <c r="E1131" s="2225"/>
      <c r="F1131" s="557" t="s">
        <v>840</v>
      </c>
      <c r="G1131" s="548"/>
      <c r="H1131" s="550">
        <v>30233</v>
      </c>
    </row>
    <row r="1132" spans="1:9" s="404" customFormat="1">
      <c r="A1132" s="2280"/>
      <c r="B1132" s="2281"/>
      <c r="C1132" s="2223" t="s">
        <v>1881</v>
      </c>
      <c r="D1132" s="2224"/>
      <c r="E1132" s="2225"/>
      <c r="F1132" s="557" t="s">
        <v>768</v>
      </c>
      <c r="G1132" s="548"/>
      <c r="H1132" s="550">
        <v>5470293</v>
      </c>
    </row>
    <row r="1133" spans="1:9" s="404" customFormat="1">
      <c r="A1133" s="2280"/>
      <c r="B1133" s="2281"/>
      <c r="C1133" s="2223" t="s">
        <v>1134</v>
      </c>
      <c r="D1133" s="2224"/>
      <c r="E1133" s="2225"/>
      <c r="F1133" s="557" t="s">
        <v>860</v>
      </c>
      <c r="G1133" s="548"/>
      <c r="H1133" s="550">
        <v>165331</v>
      </c>
    </row>
    <row r="1134" spans="1:9" s="404" customFormat="1">
      <c r="A1134" s="2280"/>
      <c r="B1134" s="2281"/>
      <c r="C1134" s="2223" t="s">
        <v>1198</v>
      </c>
      <c r="D1134" s="2224"/>
      <c r="E1134" s="2225"/>
      <c r="F1134" s="1960" t="s">
        <v>845</v>
      </c>
      <c r="G1134" s="548"/>
      <c r="H1134" s="550">
        <v>540345</v>
      </c>
    </row>
    <row r="1135" spans="1:9" s="404" customFormat="1">
      <c r="A1135" s="2280"/>
      <c r="B1135" s="2281"/>
      <c r="C1135" s="2223" t="s">
        <v>1084</v>
      </c>
      <c r="D1135" s="2224"/>
      <c r="E1135" s="2225"/>
      <c r="F1135" s="557" t="s">
        <v>1199</v>
      </c>
      <c r="G1135" s="548"/>
      <c r="H1135" s="550">
        <v>473758</v>
      </c>
    </row>
    <row r="1136" spans="1:9" s="404" customFormat="1">
      <c r="A1136" s="2280"/>
      <c r="B1136" s="2281"/>
      <c r="C1136" s="2223" t="s">
        <v>1200</v>
      </c>
      <c r="D1136" s="2224"/>
      <c r="E1136" s="2225"/>
      <c r="F1136" s="557" t="s">
        <v>1033</v>
      </c>
      <c r="G1136" s="548"/>
      <c r="H1136" s="550">
        <v>560000</v>
      </c>
    </row>
    <row r="1137" spans="1:8" s="404" customFormat="1">
      <c r="A1137" s="2280"/>
      <c r="B1137" s="2281"/>
      <c r="C1137" s="2223" t="s">
        <v>1201</v>
      </c>
      <c r="D1137" s="2224"/>
      <c r="E1137" s="2225"/>
      <c r="F1137" s="1960" t="s">
        <v>1177</v>
      </c>
      <c r="G1137" s="548"/>
      <c r="H1137" s="550">
        <v>1166235</v>
      </c>
    </row>
    <row r="1138" spans="1:8" s="404" customFormat="1">
      <c r="A1138" s="2280"/>
      <c r="B1138" s="2281"/>
      <c r="C1138" s="2223" t="s">
        <v>1202</v>
      </c>
      <c r="D1138" s="2224"/>
      <c r="E1138" s="2225"/>
      <c r="F1138" s="557" t="s">
        <v>945</v>
      </c>
      <c r="G1138" s="548"/>
      <c r="H1138" s="550">
        <v>233769</v>
      </c>
    </row>
    <row r="1139" spans="1:8" s="404" customFormat="1">
      <c r="A1139" s="2280"/>
      <c r="B1139" s="2281"/>
      <c r="C1139" s="2223" t="s">
        <v>1155</v>
      </c>
      <c r="D1139" s="2224"/>
      <c r="E1139" s="2225"/>
      <c r="F1139" s="557" t="s">
        <v>1203</v>
      </c>
      <c r="G1139" s="548"/>
      <c r="H1139" s="550">
        <v>275476</v>
      </c>
    </row>
    <row r="1140" spans="1:8" s="404" customFormat="1">
      <c r="A1140" s="2280"/>
      <c r="B1140" s="2281"/>
      <c r="C1140" s="2223" t="s">
        <v>1204</v>
      </c>
      <c r="D1140" s="2224"/>
      <c r="E1140" s="2225"/>
      <c r="F1140" s="557" t="s">
        <v>1182</v>
      </c>
      <c r="G1140" s="548"/>
      <c r="H1140" s="550">
        <v>198682</v>
      </c>
    </row>
    <row r="1141" spans="1:8" s="404" customFormat="1">
      <c r="A1141" s="2280"/>
      <c r="B1141" s="2281"/>
      <c r="C1141" s="2223" t="s">
        <v>1205</v>
      </c>
      <c r="D1141" s="2224"/>
      <c r="E1141" s="2225"/>
      <c r="F1141" s="557" t="s">
        <v>929</v>
      </c>
      <c r="G1141" s="548"/>
      <c r="H1141" s="550">
        <v>243665</v>
      </c>
    </row>
    <row r="1142" spans="1:8" s="404" customFormat="1">
      <c r="A1142" s="2280"/>
      <c r="B1142" s="2281"/>
      <c r="C1142" s="2223" t="s">
        <v>1206</v>
      </c>
      <c r="D1142" s="2224"/>
      <c r="E1142" s="2225"/>
      <c r="F1142" s="557" t="s">
        <v>1207</v>
      </c>
      <c r="G1142" s="548"/>
      <c r="H1142" s="550">
        <v>484796</v>
      </c>
    </row>
    <row r="1143" spans="1:8" s="404" customFormat="1">
      <c r="A1143" s="2280"/>
      <c r="B1143" s="2281"/>
      <c r="C1143" s="2223" t="s">
        <v>1208</v>
      </c>
      <c r="D1143" s="2224"/>
      <c r="E1143" s="2225"/>
      <c r="F1143" s="557" t="s">
        <v>926</v>
      </c>
      <c r="G1143" s="548"/>
      <c r="H1143" s="550">
        <v>594346</v>
      </c>
    </row>
    <row r="1144" spans="1:8" s="404" customFormat="1">
      <c r="A1144" s="2280"/>
      <c r="B1144" s="2281"/>
      <c r="C1144" s="2223" t="s">
        <v>1069</v>
      </c>
      <c r="D1144" s="2224"/>
      <c r="E1144" s="2225"/>
      <c r="F1144" s="557" t="s">
        <v>919</v>
      </c>
      <c r="G1144" s="548"/>
      <c r="H1144" s="550">
        <v>233763</v>
      </c>
    </row>
    <row r="1145" spans="1:8" s="404" customFormat="1">
      <c r="A1145" s="2280"/>
      <c r="B1145" s="2281"/>
      <c r="C1145" s="2223" t="s">
        <v>1474</v>
      </c>
      <c r="D1145" s="2224"/>
      <c r="E1145" s="2225"/>
      <c r="F1145" s="557" t="s">
        <v>1209</v>
      </c>
      <c r="G1145" s="548"/>
      <c r="H1145" s="550">
        <v>872187</v>
      </c>
    </row>
    <row r="1146" spans="1:8" s="404" customFormat="1">
      <c r="A1146" s="2280"/>
      <c r="B1146" s="2281"/>
      <c r="C1146" s="2223" t="s">
        <v>1474</v>
      </c>
      <c r="D1146" s="2224"/>
      <c r="E1146" s="2225"/>
      <c r="F1146" s="1960" t="s">
        <v>1209</v>
      </c>
      <c r="G1146" s="548"/>
      <c r="H1146" s="550">
        <v>201064</v>
      </c>
    </row>
    <row r="1147" spans="1:8" s="404" customFormat="1">
      <c r="A1147" s="2280"/>
      <c r="B1147" s="2281"/>
      <c r="C1147" s="2223" t="s">
        <v>1067</v>
      </c>
      <c r="D1147" s="2224"/>
      <c r="E1147" s="2225"/>
      <c r="F1147" s="1960" t="s">
        <v>914</v>
      </c>
      <c r="G1147" s="548"/>
      <c r="H1147" s="550">
        <v>131728</v>
      </c>
    </row>
    <row r="1148" spans="1:8" s="404" customFormat="1">
      <c r="A1148" s="2280"/>
      <c r="B1148" s="2281"/>
      <c r="C1148" s="2223" t="s">
        <v>1210</v>
      </c>
      <c r="D1148" s="2224"/>
      <c r="E1148" s="2225"/>
      <c r="F1148" s="557" t="s">
        <v>853</v>
      </c>
      <c r="G1148" s="548"/>
      <c r="H1148" s="550">
        <v>830160</v>
      </c>
    </row>
    <row r="1149" spans="1:8" s="404" customFormat="1">
      <c r="A1149" s="2280"/>
      <c r="B1149" s="2281"/>
      <c r="C1149" s="2223" t="s">
        <v>1137</v>
      </c>
      <c r="D1149" s="2224"/>
      <c r="E1149" s="2225"/>
      <c r="F1149" s="557" t="s">
        <v>1211</v>
      </c>
      <c r="G1149" s="548"/>
      <c r="H1149" s="550">
        <v>285460</v>
      </c>
    </row>
    <row r="1150" spans="1:8" s="404" customFormat="1">
      <c r="A1150" s="2280"/>
      <c r="B1150" s="2281"/>
      <c r="C1150" s="2223" t="s">
        <v>1860</v>
      </c>
      <c r="D1150" s="2224"/>
      <c r="E1150" s="2225"/>
      <c r="F1150" s="557" t="s">
        <v>844</v>
      </c>
      <c r="G1150" s="548"/>
      <c r="H1150" s="550">
        <v>422723</v>
      </c>
    </row>
    <row r="1151" spans="1:8" s="404" customFormat="1">
      <c r="A1151" s="2280"/>
      <c r="B1151" s="2281"/>
      <c r="C1151" s="2223" t="s">
        <v>1212</v>
      </c>
      <c r="D1151" s="2224"/>
      <c r="E1151" s="2225"/>
      <c r="F1151" s="557" t="s">
        <v>842</v>
      </c>
      <c r="G1151" s="548"/>
      <c r="H1151" s="550">
        <v>381348</v>
      </c>
    </row>
    <row r="1152" spans="1:8" s="404" customFormat="1">
      <c r="A1152" s="2280"/>
      <c r="B1152" s="2281"/>
      <c r="C1152" s="2223" t="s">
        <v>1213</v>
      </c>
      <c r="D1152" s="2224"/>
      <c r="E1152" s="2225"/>
      <c r="F1152" s="557" t="s">
        <v>1214</v>
      </c>
      <c r="G1152" s="548"/>
      <c r="H1152" s="550">
        <v>769056</v>
      </c>
    </row>
    <row r="1153" spans="1:8" s="404" customFormat="1">
      <c r="A1153" s="2280"/>
      <c r="B1153" s="2281"/>
      <c r="C1153" s="2223" t="s">
        <v>1215</v>
      </c>
      <c r="D1153" s="2224"/>
      <c r="E1153" s="2225"/>
      <c r="F1153" s="557" t="s">
        <v>1216</v>
      </c>
      <c r="G1153" s="548"/>
      <c r="H1153" s="550">
        <v>355148</v>
      </c>
    </row>
    <row r="1154" spans="1:8" s="404" customFormat="1">
      <c r="A1154" s="2280"/>
      <c r="B1154" s="2281"/>
      <c r="C1154" s="2223" t="s">
        <v>1217</v>
      </c>
      <c r="D1154" s="2224"/>
      <c r="E1154" s="2225"/>
      <c r="F1154" s="557" t="s">
        <v>811</v>
      </c>
      <c r="G1154" s="548"/>
      <c r="H1154" s="550">
        <v>2269112</v>
      </c>
    </row>
    <row r="1155" spans="1:8" s="404" customFormat="1">
      <c r="A1155" s="2280"/>
      <c r="B1155" s="2281"/>
      <c r="C1155" s="2223" t="s">
        <v>1218</v>
      </c>
      <c r="D1155" s="2224"/>
      <c r="E1155" s="2225"/>
      <c r="F1155" s="557" t="s">
        <v>1219</v>
      </c>
      <c r="G1155" s="548"/>
      <c r="H1155" s="550">
        <v>293430</v>
      </c>
    </row>
    <row r="1156" spans="1:8" s="404" customFormat="1">
      <c r="A1156" s="2280"/>
      <c r="B1156" s="2281"/>
      <c r="C1156" s="2223" t="s">
        <v>1220</v>
      </c>
      <c r="D1156" s="2224"/>
      <c r="E1156" s="2225"/>
      <c r="F1156" s="557" t="s">
        <v>1221</v>
      </c>
      <c r="G1156" s="548"/>
      <c r="H1156" s="550">
        <v>304045</v>
      </c>
    </row>
    <row r="1157" spans="1:8" s="404" customFormat="1">
      <c r="A1157" s="2280"/>
      <c r="B1157" s="2281"/>
      <c r="C1157" s="2223" t="s">
        <v>1879</v>
      </c>
      <c r="D1157" s="2224"/>
      <c r="E1157" s="2225"/>
      <c r="F1157" s="557" t="s">
        <v>768</v>
      </c>
      <c r="G1157" s="548"/>
      <c r="H1157" s="550">
        <v>23803866</v>
      </c>
    </row>
    <row r="1158" spans="1:8" s="404" customFormat="1">
      <c r="A1158" s="2280"/>
      <c r="B1158" s="2281"/>
      <c r="C1158" s="2223" t="s">
        <v>1222</v>
      </c>
      <c r="D1158" s="2224"/>
      <c r="E1158" s="2225"/>
      <c r="F1158" s="557" t="s">
        <v>1223</v>
      </c>
      <c r="G1158" s="548"/>
      <c r="H1158" s="550">
        <v>308681</v>
      </c>
    </row>
    <row r="1159" spans="1:8" s="404" customFormat="1">
      <c r="A1159" s="2280"/>
      <c r="B1159" s="2281"/>
      <c r="C1159" s="2223" t="s">
        <v>1224</v>
      </c>
      <c r="D1159" s="2224"/>
      <c r="E1159" s="2225"/>
      <c r="F1159" s="1960" t="s">
        <v>1159</v>
      </c>
      <c r="G1159" s="548"/>
      <c r="H1159" s="550">
        <v>322778</v>
      </c>
    </row>
    <row r="1160" spans="1:8" s="404" customFormat="1">
      <c r="A1160" s="2280"/>
      <c r="B1160" s="2281"/>
      <c r="C1160" s="2223" t="s">
        <v>1225</v>
      </c>
      <c r="D1160" s="2224"/>
      <c r="E1160" s="2225"/>
      <c r="F1160" s="557" t="s">
        <v>1226</v>
      </c>
      <c r="G1160" s="548"/>
      <c r="H1160" s="550">
        <v>1336477</v>
      </c>
    </row>
    <row r="1161" spans="1:8" s="404" customFormat="1">
      <c r="A1161" s="2280"/>
      <c r="B1161" s="2281"/>
      <c r="C1161" s="2223" t="s">
        <v>1227</v>
      </c>
      <c r="D1161" s="2224"/>
      <c r="E1161" s="2225"/>
      <c r="F1161" s="557" t="s">
        <v>813</v>
      </c>
      <c r="G1161" s="548"/>
      <c r="H1161" s="550">
        <v>268385</v>
      </c>
    </row>
    <row r="1162" spans="1:8" s="404" customFormat="1">
      <c r="A1162" s="2280"/>
      <c r="B1162" s="2281"/>
      <c r="C1162" s="2223" t="s">
        <v>1228</v>
      </c>
      <c r="D1162" s="2224"/>
      <c r="E1162" s="2225"/>
      <c r="F1162" s="557" t="s">
        <v>815</v>
      </c>
      <c r="G1162" s="548"/>
      <c r="H1162" s="550">
        <v>345379</v>
      </c>
    </row>
    <row r="1163" spans="1:8" s="404" customFormat="1">
      <c r="A1163" s="2280"/>
      <c r="B1163" s="2281"/>
      <c r="C1163" s="2223" t="s">
        <v>1229</v>
      </c>
      <c r="D1163" s="2224"/>
      <c r="E1163" s="2225"/>
      <c r="F1163" s="557" t="s">
        <v>1014</v>
      </c>
      <c r="G1163" s="548"/>
      <c r="H1163" s="550">
        <v>393762</v>
      </c>
    </row>
    <row r="1164" spans="1:8" s="404" customFormat="1">
      <c r="A1164" s="2280"/>
      <c r="B1164" s="2281"/>
      <c r="C1164" s="2223" t="s">
        <v>1073</v>
      </c>
      <c r="D1164" s="2224"/>
      <c r="E1164" s="2225"/>
      <c r="F1164" s="1960" t="s">
        <v>1179</v>
      </c>
      <c r="G1164" s="548"/>
      <c r="H1164" s="550">
        <v>200888</v>
      </c>
    </row>
    <row r="1165" spans="1:8" s="404" customFormat="1">
      <c r="A1165" s="2280"/>
      <c r="B1165" s="2281"/>
      <c r="C1165" s="2223" t="s">
        <v>1230</v>
      </c>
      <c r="D1165" s="2224"/>
      <c r="E1165" s="2225"/>
      <c r="F1165" s="557" t="s">
        <v>932</v>
      </c>
      <c r="G1165" s="548"/>
      <c r="H1165" s="550">
        <v>706335</v>
      </c>
    </row>
    <row r="1166" spans="1:8" s="404" customFormat="1">
      <c r="A1166" s="2280"/>
      <c r="B1166" s="2281"/>
      <c r="C1166" s="2223" t="s">
        <v>1077</v>
      </c>
      <c r="D1166" s="2224"/>
      <c r="E1166" s="2225"/>
      <c r="F1166" s="557" t="s">
        <v>858</v>
      </c>
      <c r="G1166" s="548"/>
      <c r="H1166" s="550">
        <v>61373</v>
      </c>
    </row>
    <row r="1167" spans="1:8" s="404" customFormat="1">
      <c r="A1167" s="2280"/>
      <c r="B1167" s="2281"/>
      <c r="C1167" s="2223" t="s">
        <v>1231</v>
      </c>
      <c r="D1167" s="2224"/>
      <c r="E1167" s="2225"/>
      <c r="F1167" s="1960" t="s">
        <v>945</v>
      </c>
      <c r="G1167" s="548"/>
      <c r="H1167" s="550">
        <v>11854</v>
      </c>
    </row>
    <row r="1168" spans="1:8" s="404" customFormat="1">
      <c r="A1168" s="2280"/>
      <c r="B1168" s="2281"/>
      <c r="C1168" s="2223" t="s">
        <v>1232</v>
      </c>
      <c r="D1168" s="2224"/>
      <c r="E1168" s="2225"/>
      <c r="F1168" s="557" t="s">
        <v>1182</v>
      </c>
      <c r="G1168" s="548"/>
      <c r="H1168" s="550">
        <v>69981</v>
      </c>
    </row>
    <row r="1169" spans="1:9" s="404" customFormat="1">
      <c r="A1169" s="2280"/>
      <c r="B1169" s="2281"/>
      <c r="C1169" s="2223" t="s">
        <v>1073</v>
      </c>
      <c r="D1169" s="2224"/>
      <c r="E1169" s="2225"/>
      <c r="F1169" s="557" t="s">
        <v>1179</v>
      </c>
      <c r="G1169" s="548"/>
      <c r="H1169" s="550">
        <v>52374477</v>
      </c>
    </row>
    <row r="1170" spans="1:9" s="404" customFormat="1">
      <c r="A1170" s="2280"/>
      <c r="B1170" s="2281"/>
      <c r="C1170" s="2223" t="s">
        <v>1233</v>
      </c>
      <c r="D1170" s="2224"/>
      <c r="E1170" s="2225"/>
      <c r="F1170" s="557" t="s">
        <v>917</v>
      </c>
      <c r="G1170" s="548"/>
      <c r="H1170" s="550">
        <v>559981</v>
      </c>
    </row>
    <row r="1171" spans="1:9" s="404" customFormat="1" ht="13.5" customHeight="1">
      <c r="A1171" s="2280"/>
      <c r="B1171" s="2281"/>
      <c r="C1171" s="2223" t="s">
        <v>1897</v>
      </c>
      <c r="D1171" s="2224"/>
      <c r="E1171" s="2225"/>
      <c r="F1171" s="557" t="s">
        <v>1234</v>
      </c>
      <c r="G1171" s="548"/>
      <c r="H1171" s="550">
        <v>2353635</v>
      </c>
      <c r="I1171" s="1985"/>
    </row>
    <row r="1172" spans="1:9" s="404" customFormat="1" ht="13.5" customHeight="1">
      <c r="A1172" s="2280"/>
      <c r="B1172" s="2281"/>
      <c r="C1172" s="2223" t="s">
        <v>1879</v>
      </c>
      <c r="D1172" s="2224"/>
      <c r="E1172" s="2225"/>
      <c r="F1172" s="557" t="s">
        <v>768</v>
      </c>
      <c r="G1172" s="548"/>
      <c r="H1172" s="550">
        <v>331838</v>
      </c>
      <c r="I1172" s="1985"/>
    </row>
    <row r="1173" spans="1:9" s="404" customFormat="1" ht="13.5" customHeight="1">
      <c r="A1173" s="2280"/>
      <c r="B1173" s="2281"/>
      <c r="C1173" s="2223" t="s">
        <v>1121</v>
      </c>
      <c r="D1173" s="2224"/>
      <c r="E1173" s="2225"/>
      <c r="F1173" s="557" t="s">
        <v>818</v>
      </c>
      <c r="G1173" s="548"/>
      <c r="H1173" s="550">
        <v>537005</v>
      </c>
      <c r="I1173" s="1985"/>
    </row>
    <row r="1174" spans="1:9" s="404" customFormat="1">
      <c r="A1174" s="2280"/>
      <c r="B1174" s="2281"/>
      <c r="C1174" s="2223" t="s">
        <v>1885</v>
      </c>
      <c r="D1174" s="2224"/>
      <c r="E1174" s="2225"/>
      <c r="F1174" s="557" t="s">
        <v>1010</v>
      </c>
      <c r="G1174" s="548"/>
      <c r="H1174" s="550">
        <v>612762</v>
      </c>
    </row>
    <row r="1175" spans="1:9" s="404" customFormat="1">
      <c r="A1175" s="2280"/>
      <c r="B1175" s="2281"/>
      <c r="C1175" s="2223" t="s">
        <v>1235</v>
      </c>
      <c r="D1175" s="2224"/>
      <c r="E1175" s="2225"/>
      <c r="F1175" s="557" t="s">
        <v>827</v>
      </c>
      <c r="G1175" s="548"/>
      <c r="H1175" s="550">
        <v>548173</v>
      </c>
    </row>
    <row r="1176" spans="1:9" s="404" customFormat="1">
      <c r="A1176" s="2280"/>
      <c r="B1176" s="2281"/>
      <c r="C1176" s="2223" t="s">
        <v>1871</v>
      </c>
      <c r="D1176" s="2224"/>
      <c r="E1176" s="2225"/>
      <c r="F1176" s="1960" t="s">
        <v>976</v>
      </c>
      <c r="G1176" s="548"/>
      <c r="H1176" s="550">
        <v>501352</v>
      </c>
    </row>
    <row r="1177" spans="1:9" s="404" customFormat="1">
      <c r="A1177" s="2280"/>
      <c r="B1177" s="2281"/>
      <c r="C1177" s="2223" t="s">
        <v>1236</v>
      </c>
      <c r="D1177" s="2224"/>
      <c r="E1177" s="2225"/>
      <c r="F1177" s="1960" t="s">
        <v>1237</v>
      </c>
      <c r="G1177" s="548"/>
      <c r="H1177" s="550">
        <v>268850</v>
      </c>
    </row>
    <row r="1178" spans="1:9" s="404" customFormat="1">
      <c r="A1178" s="2280"/>
      <c r="B1178" s="2281"/>
      <c r="C1178" s="2223" t="s">
        <v>1091</v>
      </c>
      <c r="D1178" s="2224"/>
      <c r="E1178" s="2225"/>
      <c r="F1178" s="557" t="s">
        <v>1008</v>
      </c>
      <c r="G1178" s="548"/>
      <c r="H1178" s="550">
        <v>5278907</v>
      </c>
    </row>
    <row r="1179" spans="1:9" s="404" customFormat="1">
      <c r="A1179" s="2280"/>
      <c r="B1179" s="2281"/>
      <c r="C1179" s="2223" t="s">
        <v>1156</v>
      </c>
      <c r="D1179" s="2224"/>
      <c r="E1179" s="2225"/>
      <c r="F1179" s="557" t="s">
        <v>922</v>
      </c>
      <c r="G1179" s="548"/>
      <c r="H1179" s="550">
        <v>337439</v>
      </c>
    </row>
    <row r="1180" spans="1:9" s="404" customFormat="1">
      <c r="A1180" s="2280"/>
      <c r="B1180" s="2281"/>
      <c r="C1180" s="2223" t="s">
        <v>1238</v>
      </c>
      <c r="D1180" s="2224"/>
      <c r="E1180" s="2225"/>
      <c r="F1180" s="557" t="s">
        <v>1025</v>
      </c>
      <c r="G1180" s="548"/>
      <c r="H1180" s="550">
        <v>56675109</v>
      </c>
    </row>
    <row r="1181" spans="1:9" s="404" customFormat="1">
      <c r="A1181" s="2280"/>
      <c r="B1181" s="2281"/>
      <c r="C1181" s="2223" t="s">
        <v>1900</v>
      </c>
      <c r="D1181" s="2224"/>
      <c r="E1181" s="2225"/>
      <c r="F1181" s="557" t="s">
        <v>871</v>
      </c>
      <c r="G1181" s="548"/>
      <c r="H1181" s="550">
        <v>370894</v>
      </c>
    </row>
    <row r="1182" spans="1:9" s="404" customFormat="1">
      <c r="A1182" s="2280"/>
      <c r="B1182" s="2281"/>
      <c r="C1182" s="2223" t="s">
        <v>1239</v>
      </c>
      <c r="D1182" s="2224"/>
      <c r="E1182" s="2225"/>
      <c r="F1182" s="557" t="s">
        <v>1240</v>
      </c>
      <c r="G1182" s="548"/>
      <c r="H1182" s="550">
        <v>9724672</v>
      </c>
    </row>
    <row r="1183" spans="1:9" s="404" customFormat="1">
      <c r="A1183" s="2280"/>
      <c r="B1183" s="2281"/>
      <c r="C1183" s="2223" t="s">
        <v>1475</v>
      </c>
      <c r="D1183" s="2224"/>
      <c r="E1183" s="2225"/>
      <c r="F1183" s="557" t="s">
        <v>1241</v>
      </c>
      <c r="G1183" s="548"/>
      <c r="H1183" s="550">
        <v>717642</v>
      </c>
    </row>
    <row r="1184" spans="1:9" s="404" customFormat="1">
      <c r="A1184" s="2280"/>
      <c r="B1184" s="2281"/>
      <c r="C1184" s="2223" t="s">
        <v>1242</v>
      </c>
      <c r="D1184" s="2224"/>
      <c r="E1184" s="2225"/>
      <c r="F1184" s="557" t="s">
        <v>750</v>
      </c>
      <c r="G1184" s="548"/>
      <c r="H1184" s="550">
        <v>1895820</v>
      </c>
    </row>
    <row r="1185" spans="1:8" s="404" customFormat="1">
      <c r="A1185" s="2280"/>
      <c r="B1185" s="2281"/>
      <c r="C1185" s="2223" t="s">
        <v>1243</v>
      </c>
      <c r="D1185" s="2224"/>
      <c r="E1185" s="2225"/>
      <c r="F1185" s="557" t="s">
        <v>1045</v>
      </c>
      <c r="G1185" s="548"/>
      <c r="H1185" s="550">
        <v>717443</v>
      </c>
    </row>
    <row r="1186" spans="1:8" s="404" customFormat="1">
      <c r="A1186" s="2280"/>
      <c r="B1186" s="2281"/>
      <c r="C1186" s="2223" t="s">
        <v>1244</v>
      </c>
      <c r="D1186" s="2224"/>
      <c r="E1186" s="2225"/>
      <c r="F1186" s="557" t="s">
        <v>1245</v>
      </c>
      <c r="G1186" s="548"/>
      <c r="H1186" s="550">
        <v>475176</v>
      </c>
    </row>
    <row r="1187" spans="1:8" s="404" customFormat="1">
      <c r="A1187" s="2280"/>
      <c r="B1187" s="2281"/>
      <c r="C1187" s="2223" t="s">
        <v>1246</v>
      </c>
      <c r="D1187" s="2224"/>
      <c r="E1187" s="2225"/>
      <c r="F1187" s="557" t="s">
        <v>750</v>
      </c>
      <c r="G1187" s="548"/>
      <c r="H1187" s="550">
        <v>3015240</v>
      </c>
    </row>
    <row r="1188" spans="1:8" s="404" customFormat="1">
      <c r="A1188" s="2280"/>
      <c r="B1188" s="2281"/>
      <c r="C1188" s="2223" t="s">
        <v>1247</v>
      </c>
      <c r="D1188" s="2224"/>
      <c r="E1188" s="2225"/>
      <c r="F1188" s="557" t="s">
        <v>503</v>
      </c>
      <c r="G1188" s="548"/>
      <c r="H1188" s="550">
        <v>241561</v>
      </c>
    </row>
    <row r="1189" spans="1:8" s="404" customFormat="1">
      <c r="A1189" s="2280"/>
      <c r="B1189" s="2281"/>
      <c r="C1189" s="2223" t="s">
        <v>1248</v>
      </c>
      <c r="D1189" s="2224"/>
      <c r="E1189" s="2225"/>
      <c r="F1189" s="1960" t="s">
        <v>955</v>
      </c>
      <c r="G1189" s="548"/>
      <c r="H1189" s="550">
        <v>528348</v>
      </c>
    </row>
    <row r="1190" spans="1:8" s="404" customFormat="1">
      <c r="A1190" s="2280"/>
      <c r="B1190" s="2281"/>
      <c r="C1190" s="2223" t="s">
        <v>1249</v>
      </c>
      <c r="D1190" s="2224"/>
      <c r="E1190" s="2225"/>
      <c r="F1190" s="557" t="s">
        <v>591</v>
      </c>
      <c r="G1190" s="548"/>
      <c r="H1190" s="550">
        <v>62016</v>
      </c>
    </row>
    <row r="1191" spans="1:8" s="404" customFormat="1">
      <c r="A1191" s="2280"/>
      <c r="B1191" s="2281"/>
      <c r="C1191" s="2223" t="s">
        <v>1250</v>
      </c>
      <c r="D1191" s="2224"/>
      <c r="E1191" s="2225"/>
      <c r="F1191" s="557" t="s">
        <v>898</v>
      </c>
      <c r="G1191" s="548"/>
      <c r="H1191" s="550">
        <v>94374</v>
      </c>
    </row>
    <row r="1192" spans="1:8" s="404" customFormat="1">
      <c r="A1192" s="2280"/>
      <c r="B1192" s="2281"/>
      <c r="C1192" s="2223" t="s">
        <v>1251</v>
      </c>
      <c r="D1192" s="2224"/>
      <c r="E1192" s="2225"/>
      <c r="F1192" s="557" t="s">
        <v>1252</v>
      </c>
      <c r="G1192" s="548"/>
      <c r="H1192" s="550">
        <v>31450</v>
      </c>
    </row>
    <row r="1193" spans="1:8" s="404" customFormat="1">
      <c r="A1193" s="2280"/>
      <c r="B1193" s="2281"/>
      <c r="C1193" s="2223" t="s">
        <v>1251</v>
      </c>
      <c r="D1193" s="2224"/>
      <c r="E1193" s="2225"/>
      <c r="F1193" s="557" t="s">
        <v>1252</v>
      </c>
      <c r="G1193" s="548"/>
      <c r="H1193" s="550">
        <v>36129</v>
      </c>
    </row>
    <row r="1194" spans="1:8" s="404" customFormat="1">
      <c r="A1194" s="2280"/>
      <c r="B1194" s="2281"/>
      <c r="C1194" s="2223" t="s">
        <v>1253</v>
      </c>
      <c r="D1194" s="2224"/>
      <c r="E1194" s="2225"/>
      <c r="F1194" s="1960" t="s">
        <v>591</v>
      </c>
      <c r="G1194" s="548"/>
      <c r="H1194" s="550">
        <v>148690</v>
      </c>
    </row>
    <row r="1195" spans="1:8" s="404" customFormat="1">
      <c r="A1195" s="2280"/>
      <c r="B1195" s="2281"/>
      <c r="C1195" s="2223" t="s">
        <v>1254</v>
      </c>
      <c r="D1195" s="2224"/>
      <c r="E1195" s="2225"/>
      <c r="F1195" s="557" t="s">
        <v>1255</v>
      </c>
      <c r="G1195" s="548"/>
      <c r="H1195" s="550">
        <v>1319926</v>
      </c>
    </row>
    <row r="1196" spans="1:8" s="404" customFormat="1">
      <c r="A1196" s="2280"/>
      <c r="B1196" s="2281"/>
      <c r="C1196" s="2223" t="s">
        <v>1914</v>
      </c>
      <c r="D1196" s="2224"/>
      <c r="E1196" s="2225"/>
      <c r="F1196" s="557" t="s">
        <v>873</v>
      </c>
      <c r="G1196" s="548"/>
      <c r="H1196" s="550">
        <v>1279085</v>
      </c>
    </row>
    <row r="1197" spans="1:8" s="404" customFormat="1">
      <c r="A1197" s="2280"/>
      <c r="B1197" s="2281"/>
      <c r="C1197" s="2223" t="s">
        <v>1057</v>
      </c>
      <c r="D1197" s="2224"/>
      <c r="E1197" s="2225"/>
      <c r="F1197" s="1960" t="s">
        <v>895</v>
      </c>
      <c r="G1197" s="548"/>
      <c r="H1197" s="550">
        <v>1585975</v>
      </c>
    </row>
    <row r="1198" spans="1:8" s="404" customFormat="1">
      <c r="A1198" s="2280"/>
      <c r="B1198" s="2281"/>
      <c r="C1198" s="2223" t="s">
        <v>710</v>
      </c>
      <c r="D1198" s="2224"/>
      <c r="E1198" s="2225"/>
      <c r="F1198" s="1988"/>
      <c r="G1198" s="548"/>
      <c r="H1198" s="550">
        <v>1472972</v>
      </c>
    </row>
    <row r="1199" spans="1:8" s="404" customFormat="1">
      <c r="A1199" s="2280"/>
      <c r="B1199" s="2281"/>
      <c r="C1199" s="2223" t="s">
        <v>710</v>
      </c>
      <c r="D1199" s="2224"/>
      <c r="E1199" s="2225"/>
      <c r="F1199" s="1988"/>
      <c r="G1199" s="548"/>
      <c r="H1199" s="550">
        <v>49063</v>
      </c>
    </row>
    <row r="1200" spans="1:8" s="404" customFormat="1">
      <c r="A1200" s="2280"/>
      <c r="B1200" s="2281"/>
      <c r="C1200" s="2223" t="s">
        <v>1256</v>
      </c>
      <c r="D1200" s="2224"/>
      <c r="E1200" s="2225"/>
      <c r="F1200" s="1988">
        <v>1133</v>
      </c>
      <c r="G1200" s="548"/>
      <c r="H1200" s="550">
        <v>1436480</v>
      </c>
    </row>
    <row r="1201" spans="1:9" s="404" customFormat="1">
      <c r="A1201" s="2280"/>
      <c r="B1201" s="2281"/>
      <c r="C1201" s="2223" t="s">
        <v>1257</v>
      </c>
      <c r="D1201" s="2224"/>
      <c r="E1201" s="2225"/>
      <c r="F1201" s="1988"/>
      <c r="G1201" s="548"/>
      <c r="H1201" s="550">
        <v>2608637</v>
      </c>
    </row>
    <row r="1202" spans="1:9" s="404" customFormat="1">
      <c r="A1202" s="2280"/>
      <c r="B1202" s="2281"/>
      <c r="C1202" s="2223" t="s">
        <v>1258</v>
      </c>
      <c r="D1202" s="2224"/>
      <c r="E1202" s="2225"/>
      <c r="F1202" s="1988" t="s">
        <v>644</v>
      </c>
      <c r="G1202" s="548"/>
      <c r="H1202" s="550">
        <v>426203</v>
      </c>
    </row>
    <row r="1203" spans="1:9" s="404" customFormat="1">
      <c r="A1203" s="2280"/>
      <c r="B1203" s="2281"/>
      <c r="C1203" s="2223" t="s">
        <v>1259</v>
      </c>
      <c r="D1203" s="2224"/>
      <c r="E1203" s="2225"/>
      <c r="F1203" s="1988"/>
      <c r="G1203" s="548"/>
      <c r="H1203" s="550">
        <v>3154914</v>
      </c>
    </row>
    <row r="1204" spans="1:9" s="404" customFormat="1">
      <c r="A1204" s="2280"/>
      <c r="B1204" s="2281"/>
      <c r="C1204" s="2223" t="s">
        <v>1260</v>
      </c>
      <c r="D1204" s="2224"/>
      <c r="E1204" s="2225"/>
      <c r="F1204" s="1988"/>
      <c r="G1204" s="548"/>
      <c r="H1204" s="550">
        <v>38057</v>
      </c>
    </row>
    <row r="1205" spans="1:9" s="404" customFormat="1">
      <c r="A1205" s="2280"/>
      <c r="B1205" s="2281"/>
      <c r="C1205" s="2223" t="s">
        <v>1261</v>
      </c>
      <c r="D1205" s="2224"/>
      <c r="E1205" s="2225"/>
      <c r="F1205" s="1988"/>
      <c r="G1205" s="548"/>
      <c r="H1205" s="550">
        <v>2473597</v>
      </c>
    </row>
    <row r="1206" spans="1:9" s="404" customFormat="1">
      <c r="A1206" s="2280"/>
      <c r="B1206" s="2281"/>
      <c r="C1206" s="2223" t="s">
        <v>1262</v>
      </c>
      <c r="D1206" s="2224"/>
      <c r="E1206" s="2225"/>
      <c r="F1206" s="1988"/>
      <c r="G1206" s="548"/>
      <c r="H1206" s="550">
        <v>6259531</v>
      </c>
    </row>
    <row r="1207" spans="1:9" s="404" customFormat="1">
      <c r="A1207" s="2280"/>
      <c r="B1207" s="2281"/>
      <c r="C1207" s="2223" t="s">
        <v>1861</v>
      </c>
      <c r="D1207" s="2224"/>
      <c r="E1207" s="2225"/>
      <c r="F1207" s="1988"/>
      <c r="G1207" s="548"/>
      <c r="H1207" s="550">
        <v>35885</v>
      </c>
    </row>
    <row r="1208" spans="1:9" s="404" customFormat="1">
      <c r="A1208" s="2280"/>
      <c r="B1208" s="2281"/>
      <c r="C1208" s="2223" t="s">
        <v>1263</v>
      </c>
      <c r="D1208" s="2224"/>
      <c r="E1208" s="2225"/>
      <c r="F1208" s="1988"/>
      <c r="G1208" s="548"/>
      <c r="H1208" s="550">
        <v>1196459</v>
      </c>
    </row>
    <row r="1209" spans="1:9" s="404" customFormat="1">
      <c r="A1209" s="2280"/>
      <c r="B1209" s="2281"/>
      <c r="C1209" s="2223" t="s">
        <v>1264</v>
      </c>
      <c r="D1209" s="2224"/>
      <c r="E1209" s="2225"/>
      <c r="F1209" s="1988"/>
      <c r="G1209" s="548"/>
      <c r="H1209" s="550">
        <v>255381</v>
      </c>
      <c r="I1209" s="1925"/>
    </row>
    <row r="1210" spans="1:9" s="404" customFormat="1">
      <c r="A1210" s="2280"/>
      <c r="B1210" s="2281"/>
      <c r="C1210" s="2223" t="s">
        <v>1862</v>
      </c>
      <c r="D1210" s="2224"/>
      <c r="E1210" s="2225"/>
      <c r="F1210" s="1988" t="s">
        <v>646</v>
      </c>
      <c r="G1210" s="548"/>
      <c r="H1210" s="550">
        <v>590275</v>
      </c>
      <c r="I1210" s="1925"/>
    </row>
    <row r="1211" spans="1:9" s="404" customFormat="1">
      <c r="A1211" s="2280"/>
      <c r="B1211" s="2281"/>
      <c r="C1211" s="2223" t="s">
        <v>1868</v>
      </c>
      <c r="D1211" s="2224"/>
      <c r="E1211" s="2225"/>
      <c r="F1211" s="1988" t="s">
        <v>600</v>
      </c>
      <c r="G1211" s="548"/>
      <c r="H1211" s="550">
        <v>1292152</v>
      </c>
      <c r="I1211" s="1925"/>
    </row>
    <row r="1212" spans="1:9" s="404" customFormat="1">
      <c r="A1212" s="2280"/>
      <c r="B1212" s="2281"/>
      <c r="C1212" s="2223" t="s">
        <v>1265</v>
      </c>
      <c r="D1212" s="2224"/>
      <c r="E1212" s="2225"/>
      <c r="F1212" s="1988" t="s">
        <v>1266</v>
      </c>
      <c r="G1212" s="548"/>
      <c r="H1212" s="550">
        <v>14992341</v>
      </c>
      <c r="I1212" s="1925"/>
    </row>
    <row r="1213" spans="1:9" s="404" customFormat="1">
      <c r="A1213" s="2280"/>
      <c r="B1213" s="2281"/>
      <c r="C1213" s="2223" t="s">
        <v>1336</v>
      </c>
      <c r="D1213" s="2224"/>
      <c r="E1213" s="2225"/>
      <c r="F1213" s="1989" t="s">
        <v>1863</v>
      </c>
      <c r="G1213" s="1990"/>
      <c r="H1213" s="550">
        <v>1904791</v>
      </c>
      <c r="I1213" s="1925"/>
    </row>
    <row r="1214" spans="1:9" s="404" customFormat="1">
      <c r="A1214" s="2280"/>
      <c r="B1214" s="2281"/>
      <c r="C1214" s="2223" t="s">
        <v>1864</v>
      </c>
      <c r="D1214" s="2224"/>
      <c r="E1214" s="2225"/>
      <c r="F1214" s="1988" t="s">
        <v>1348</v>
      </c>
      <c r="G1214" s="548"/>
      <c r="H1214" s="550">
        <v>8354707</v>
      </c>
      <c r="I1214" s="1925"/>
    </row>
    <row r="1215" spans="1:9" s="404" customFormat="1">
      <c r="A1215" s="2280"/>
      <c r="B1215" s="2281"/>
      <c r="C1215" s="2223" t="s">
        <v>1336</v>
      </c>
      <c r="D1215" s="2224"/>
      <c r="E1215" s="2225"/>
      <c r="F1215" s="1988" t="s">
        <v>1337</v>
      </c>
      <c r="G1215" s="548"/>
      <c r="H1215" s="550">
        <v>4334216</v>
      </c>
      <c r="I1215" s="1925"/>
    </row>
    <row r="1216" spans="1:9" s="404" customFormat="1">
      <c r="A1216" s="2280"/>
      <c r="B1216" s="2281"/>
      <c r="C1216" s="2223" t="s">
        <v>1336</v>
      </c>
      <c r="D1216" s="2224"/>
      <c r="E1216" s="2225"/>
      <c r="F1216" s="1989" t="s">
        <v>1865</v>
      </c>
      <c r="G1216" s="1990"/>
      <c r="H1216" s="550">
        <v>10691376</v>
      </c>
      <c r="I1216" s="1925"/>
    </row>
    <row r="1217" spans="1:9" s="404" customFormat="1">
      <c r="A1217" s="2280"/>
      <c r="B1217" s="2281"/>
      <c r="C1217" s="2223" t="s">
        <v>1336</v>
      </c>
      <c r="D1217" s="2224"/>
      <c r="E1217" s="2225"/>
      <c r="F1217" s="1988" t="s">
        <v>1338</v>
      </c>
      <c r="G1217" s="548"/>
      <c r="H1217" s="550">
        <v>13820338</v>
      </c>
      <c r="I1217" s="1925"/>
    </row>
    <row r="1218" spans="1:9" s="404" customFormat="1">
      <c r="A1218" s="2280"/>
      <c r="B1218" s="2281"/>
      <c r="C1218" s="2223" t="s">
        <v>1336</v>
      </c>
      <c r="D1218" s="2224"/>
      <c r="E1218" s="2225"/>
      <c r="F1218" s="1988" t="s">
        <v>1339</v>
      </c>
      <c r="G1218" s="548"/>
      <c r="H1218" s="550">
        <v>57616180</v>
      </c>
      <c r="I1218" s="1925"/>
    </row>
    <row r="1219" spans="1:9" s="404" customFormat="1">
      <c r="A1219" s="2280"/>
      <c r="B1219" s="2281"/>
      <c r="C1219" s="2223" t="s">
        <v>1336</v>
      </c>
      <c r="D1219" s="2224"/>
      <c r="E1219" s="2225"/>
      <c r="F1219" s="1988" t="s">
        <v>1340</v>
      </c>
      <c r="G1219" s="548"/>
      <c r="H1219" s="550">
        <v>3739007</v>
      </c>
      <c r="I1219" s="1925"/>
    </row>
    <row r="1220" spans="1:9" s="404" customFormat="1">
      <c r="A1220" s="2280"/>
      <c r="B1220" s="2281"/>
      <c r="C1220" s="2223" t="s">
        <v>1336</v>
      </c>
      <c r="D1220" s="2224"/>
      <c r="E1220" s="2225"/>
      <c r="F1220" s="1988" t="s">
        <v>1341</v>
      </c>
      <c r="G1220" s="548"/>
      <c r="H1220" s="550">
        <v>3397074</v>
      </c>
      <c r="I1220" s="1925"/>
    </row>
    <row r="1221" spans="1:9" s="404" customFormat="1">
      <c r="A1221" s="2280"/>
      <c r="B1221" s="2281"/>
      <c r="C1221" s="2223" t="s">
        <v>1476</v>
      </c>
      <c r="D1221" s="2224"/>
      <c r="E1221" s="2225"/>
      <c r="F1221" s="1988" t="s">
        <v>985</v>
      </c>
      <c r="G1221" s="548"/>
      <c r="H1221" s="562">
        <v>3411326</v>
      </c>
      <c r="I1221" s="1925"/>
    </row>
    <row r="1222" spans="1:9" s="404" customFormat="1">
      <c r="A1222" s="2280"/>
      <c r="B1222" s="2281"/>
      <c r="C1222" s="2223" t="s">
        <v>1477</v>
      </c>
      <c r="D1222" s="2224"/>
      <c r="E1222" s="2225"/>
      <c r="F1222" s="1988" t="s">
        <v>993</v>
      </c>
      <c r="G1222" s="548"/>
      <c r="H1222" s="562">
        <v>4898168</v>
      </c>
      <c r="I1222" s="1925"/>
    </row>
    <row r="1223" spans="1:9" s="404" customFormat="1">
      <c r="A1223" s="2280"/>
      <c r="B1223" s="2281"/>
      <c r="C1223" s="2223" t="s">
        <v>1478</v>
      </c>
      <c r="D1223" s="2224"/>
      <c r="E1223" s="2225"/>
      <c r="F1223" s="1988" t="s">
        <v>778</v>
      </c>
      <c r="G1223" s="548"/>
      <c r="H1223" s="562">
        <v>1037282</v>
      </c>
      <c r="I1223" s="1925"/>
    </row>
    <row r="1224" spans="1:9" s="404" customFormat="1" ht="12.75" customHeight="1">
      <c r="A1224" s="2280"/>
      <c r="B1224" s="2281"/>
      <c r="C1224" s="2223" t="s">
        <v>1479</v>
      </c>
      <c r="D1224" s="2224"/>
      <c r="E1224" s="2225"/>
      <c r="F1224" s="1988" t="s">
        <v>778</v>
      </c>
      <c r="G1224" s="548"/>
      <c r="H1224" s="562">
        <v>3471093</v>
      </c>
      <c r="I1224" s="1925"/>
    </row>
    <row r="1225" spans="1:9" s="404" customFormat="1" ht="12.75" customHeight="1">
      <c r="A1225" s="2280"/>
      <c r="B1225" s="2281"/>
      <c r="C1225" s="2223" t="s">
        <v>1480</v>
      </c>
      <c r="D1225" s="2224"/>
      <c r="E1225" s="2225"/>
      <c r="F1225" s="1988">
        <v>568</v>
      </c>
      <c r="G1225" s="1991"/>
      <c r="H1225" s="562">
        <v>6594829</v>
      </c>
      <c r="I1225" s="1925"/>
    </row>
    <row r="1226" spans="1:9" s="404" customFormat="1" ht="12.75" customHeight="1">
      <c r="A1226" s="2280"/>
      <c r="B1226" s="2281"/>
      <c r="C1226" s="2223" t="s">
        <v>1869</v>
      </c>
      <c r="D1226" s="2224"/>
      <c r="E1226" s="2225"/>
      <c r="F1226" s="1988" t="s">
        <v>966</v>
      </c>
      <c r="G1226" s="1991"/>
      <c r="H1226" s="562">
        <v>2008646</v>
      </c>
      <c r="I1226" s="1925"/>
    </row>
    <row r="1227" spans="1:9" s="404" customFormat="1" ht="12.75" customHeight="1">
      <c r="A1227" s="2280"/>
      <c r="B1227" s="2281"/>
      <c r="C1227" s="2223" t="s">
        <v>1103</v>
      </c>
      <c r="D1227" s="2224"/>
      <c r="E1227" s="2225"/>
      <c r="F1227" s="1992">
        <v>379</v>
      </c>
      <c r="G1227" s="1991"/>
      <c r="H1227" s="562">
        <v>11732899</v>
      </c>
      <c r="I1227" s="1925"/>
    </row>
    <row r="1228" spans="1:9" s="404" customFormat="1" ht="12.75" customHeight="1">
      <c r="A1228" s="2280"/>
      <c r="B1228" s="2281"/>
      <c r="C1228" s="2223" t="s">
        <v>1481</v>
      </c>
      <c r="D1228" s="2224"/>
      <c r="E1228" s="2225"/>
      <c r="F1228" s="1988">
        <v>94</v>
      </c>
      <c r="G1228" s="1991"/>
      <c r="H1228" s="562">
        <v>3499650</v>
      </c>
      <c r="I1228" s="1925"/>
    </row>
    <row r="1229" spans="1:9" s="404" customFormat="1" ht="12.75" customHeight="1">
      <c r="A1229" s="2280"/>
      <c r="B1229" s="2281"/>
      <c r="C1229" s="2223" t="s">
        <v>1866</v>
      </c>
      <c r="D1229" s="2224"/>
      <c r="E1229" s="2225"/>
      <c r="F1229" s="1988">
        <v>1453</v>
      </c>
      <c r="G1229" s="1991"/>
      <c r="H1229" s="562">
        <v>7495165</v>
      </c>
      <c r="I1229" s="1925"/>
    </row>
    <row r="1230" spans="1:9" s="404" customFormat="1" ht="12.75" customHeight="1">
      <c r="A1230" s="2280"/>
      <c r="B1230" s="2281"/>
      <c r="C1230" s="2223" t="s">
        <v>1867</v>
      </c>
      <c r="D1230" s="2224"/>
      <c r="E1230" s="2225"/>
      <c r="F1230" s="1988">
        <v>1455</v>
      </c>
      <c r="G1230" s="1991"/>
      <c r="H1230" s="562">
        <v>465589</v>
      </c>
      <c r="I1230" s="1925"/>
    </row>
    <row r="1231" spans="1:9" s="404" customFormat="1" ht="12.75" customHeight="1">
      <c r="A1231" s="2280"/>
      <c r="B1231" s="2281"/>
      <c r="C1231" s="2223" t="s">
        <v>1624</v>
      </c>
      <c r="D1231" s="2224"/>
      <c r="E1231" s="2225"/>
      <c r="F1231" s="1988">
        <v>1505</v>
      </c>
      <c r="G1231" s="1991"/>
      <c r="H1231" s="562">
        <v>18111708</v>
      </c>
      <c r="I1231" s="1925"/>
    </row>
    <row r="1232" spans="1:9" s="404" customFormat="1" ht="12.75" customHeight="1">
      <c r="A1232" s="2280"/>
      <c r="B1232" s="2281"/>
      <c r="C1232" s="2223" t="s">
        <v>1765</v>
      </c>
      <c r="D1232" s="2224"/>
      <c r="E1232" s="2225"/>
      <c r="F1232" s="1988" t="s">
        <v>978</v>
      </c>
      <c r="G1232" s="1991"/>
      <c r="H1232" s="562">
        <v>278357</v>
      </c>
      <c r="I1232" s="1925"/>
    </row>
    <row r="1233" spans="1:9" s="404" customFormat="1" ht="12.75" customHeight="1">
      <c r="A1233" s="2280"/>
      <c r="B1233" s="2281"/>
      <c r="C1233" s="2223" t="s">
        <v>1239</v>
      </c>
      <c r="D1233" s="2224"/>
      <c r="E1233" s="2225"/>
      <c r="F1233" s="1988">
        <v>183</v>
      </c>
      <c r="G1233" s="1991"/>
      <c r="H1233" s="562">
        <v>278356</v>
      </c>
      <c r="I1233" s="1925"/>
    </row>
    <row r="1234" spans="1:9" s="404" customFormat="1" ht="12.75" customHeight="1" thickBot="1">
      <c r="A1234" s="2280"/>
      <c r="B1234" s="2281"/>
      <c r="C1234" s="2226" t="s">
        <v>1766</v>
      </c>
      <c r="D1234" s="2227"/>
      <c r="E1234" s="2228"/>
      <c r="F1234" s="1988"/>
      <c r="G1234" s="1993"/>
      <c r="H1234" s="563">
        <v>7991688</v>
      </c>
      <c r="I1234" s="1925"/>
    </row>
    <row r="1235" spans="1:9" s="404" customFormat="1" ht="12.75" customHeight="1" thickTop="1">
      <c r="A1235" s="2288"/>
      <c r="B1235" s="2289"/>
      <c r="C1235" s="2441" t="s">
        <v>1916</v>
      </c>
      <c r="D1235" s="2442"/>
      <c r="E1235" s="2442"/>
      <c r="F1235" s="2443"/>
      <c r="G1235" s="564" t="s">
        <v>168</v>
      </c>
      <c r="H1235" s="565">
        <f>SUM(H931:H1234)</f>
        <v>1160417287</v>
      </c>
      <c r="I1235" s="1925"/>
    </row>
    <row r="1236" spans="1:9" s="404" customFormat="1">
      <c r="A1236" s="2256" t="s">
        <v>466</v>
      </c>
      <c r="B1236" s="2258" t="s">
        <v>467</v>
      </c>
      <c r="C1236" s="2259"/>
      <c r="D1236" s="2259"/>
      <c r="E1236" s="2256"/>
      <c r="F1236" s="2262"/>
      <c r="G1236" s="2258" t="s">
        <v>1484</v>
      </c>
      <c r="H1236" s="2256"/>
      <c r="I1236" s="411"/>
    </row>
    <row r="1237" spans="1:9" s="404" customFormat="1">
      <c r="A1237" s="2257"/>
      <c r="B1237" s="2260"/>
      <c r="C1237" s="2261"/>
      <c r="D1237" s="2261"/>
      <c r="E1237" s="2257"/>
      <c r="F1237" s="2263"/>
      <c r="G1237" s="2260"/>
      <c r="H1237" s="2257"/>
      <c r="I1237" s="412"/>
    </row>
    <row r="1238" spans="1:9" s="404" customFormat="1">
      <c r="A1238" s="2278"/>
      <c r="B1238" s="2279"/>
      <c r="C1238" s="2444" t="s">
        <v>1482</v>
      </c>
      <c r="D1238" s="2445"/>
      <c r="E1238" s="2445"/>
      <c r="F1238" s="2445"/>
      <c r="G1238" s="2445"/>
      <c r="H1238" s="2446"/>
      <c r="I1238" s="1925"/>
    </row>
    <row r="1239" spans="1:9" s="404" customFormat="1">
      <c r="A1239" s="2280"/>
      <c r="B1239" s="2281"/>
      <c r="C1239" s="2325" t="s">
        <v>1267</v>
      </c>
      <c r="D1239" s="2326"/>
      <c r="E1239" s="2326"/>
      <c r="F1239" s="2326"/>
      <c r="G1239" s="2327"/>
      <c r="H1239" s="559">
        <v>1273000</v>
      </c>
      <c r="I1239" s="1925"/>
    </row>
    <row r="1240" spans="1:9" s="404" customFormat="1">
      <c r="A1240" s="2280"/>
      <c r="B1240" s="2281"/>
      <c r="C1240" s="2325" t="s">
        <v>1483</v>
      </c>
      <c r="D1240" s="2326"/>
      <c r="E1240" s="2326"/>
      <c r="F1240" s="2326"/>
      <c r="G1240" s="2327"/>
      <c r="H1240" s="559">
        <v>234000</v>
      </c>
      <c r="I1240" s="1925"/>
    </row>
    <row r="1241" spans="1:9" s="404" customFormat="1">
      <c r="A1241" s="2280"/>
      <c r="B1241" s="2281"/>
      <c r="C1241" s="2325" t="s">
        <v>1268</v>
      </c>
      <c r="D1241" s="2326"/>
      <c r="E1241" s="2326"/>
      <c r="F1241" s="2326"/>
      <c r="G1241" s="2327"/>
      <c r="H1241" s="559">
        <v>6327000</v>
      </c>
      <c r="I1241" s="1925"/>
    </row>
    <row r="1242" spans="1:9" s="404" customFormat="1" ht="15.75" thickBot="1">
      <c r="A1242" s="2280"/>
      <c r="B1242" s="2281"/>
      <c r="C1242" s="2402" t="s">
        <v>1269</v>
      </c>
      <c r="D1242" s="2403"/>
      <c r="E1242" s="2403"/>
      <c r="F1242" s="2403"/>
      <c r="G1242" s="2404"/>
      <c r="H1242" s="567">
        <v>154000</v>
      </c>
      <c r="I1242" s="1925"/>
    </row>
    <row r="1243" spans="1:9" s="404" customFormat="1" ht="15.75" thickTop="1">
      <c r="A1243" s="2288"/>
      <c r="B1243" s="2289"/>
      <c r="C1243" s="2441" t="s">
        <v>1915</v>
      </c>
      <c r="D1243" s="2442"/>
      <c r="E1243" s="2442"/>
      <c r="F1243" s="2443"/>
      <c r="G1243" s="564" t="s">
        <v>1422</v>
      </c>
      <c r="H1243" s="565">
        <f>SUM(H1239:H1242)</f>
        <v>7988000</v>
      </c>
      <c r="I1243" s="1925"/>
    </row>
    <row r="1244" spans="1:9" s="404" customFormat="1">
      <c r="A1244" s="2256" t="s">
        <v>466</v>
      </c>
      <c r="B1244" s="2258" t="s">
        <v>467</v>
      </c>
      <c r="C1244" s="2259"/>
      <c r="D1244" s="2259"/>
      <c r="E1244" s="2256"/>
      <c r="F1244" s="2262" t="s">
        <v>1929</v>
      </c>
      <c r="G1244" s="2258" t="s">
        <v>1484</v>
      </c>
      <c r="H1244" s="2256"/>
      <c r="I1244" s="411"/>
    </row>
    <row r="1245" spans="1:9" s="404" customFormat="1">
      <c r="A1245" s="2257"/>
      <c r="B1245" s="2260"/>
      <c r="C1245" s="2261"/>
      <c r="D1245" s="2261"/>
      <c r="E1245" s="2257"/>
      <c r="F1245" s="2263"/>
      <c r="G1245" s="2260"/>
      <c r="H1245" s="2257"/>
      <c r="I1245" s="412"/>
    </row>
    <row r="1246" spans="1:9" s="404" customFormat="1">
      <c r="A1246" s="2244"/>
      <c r="B1246" s="2264"/>
      <c r="C1246" s="2296" t="s">
        <v>1270</v>
      </c>
      <c r="D1246" s="2272"/>
      <c r="E1246" s="2272"/>
      <c r="F1246" s="2272"/>
      <c r="G1246" s="2272"/>
      <c r="H1246" s="2273"/>
    </row>
    <row r="1247" spans="1:9" s="404" customFormat="1">
      <c r="A1247" s="2245"/>
      <c r="B1247" s="2265"/>
      <c r="C1247" s="2223" t="s">
        <v>1271</v>
      </c>
      <c r="D1247" s="2224"/>
      <c r="E1247" s="2225"/>
      <c r="F1247" s="557" t="s">
        <v>1042</v>
      </c>
      <c r="G1247" s="548"/>
      <c r="H1247" s="550">
        <v>10600500</v>
      </c>
    </row>
    <row r="1248" spans="1:9" s="404" customFormat="1">
      <c r="A1248" s="2245"/>
      <c r="B1248" s="2265"/>
      <c r="C1248" s="2223" t="s">
        <v>1272</v>
      </c>
      <c r="D1248" s="2224"/>
      <c r="E1248" s="2225"/>
      <c r="F1248" s="557" t="s">
        <v>1273</v>
      </c>
      <c r="G1248" s="548"/>
      <c r="H1248" s="550">
        <v>59000</v>
      </c>
    </row>
    <row r="1249" spans="1:9" s="404" customFormat="1">
      <c r="A1249" s="2245"/>
      <c r="B1249" s="2265"/>
      <c r="C1249" s="2223" t="s">
        <v>1274</v>
      </c>
      <c r="D1249" s="2224"/>
      <c r="E1249" s="2225"/>
      <c r="F1249" s="557" t="s">
        <v>1275</v>
      </c>
      <c r="G1249" s="548"/>
      <c r="H1249" s="550">
        <v>59000</v>
      </c>
    </row>
    <row r="1250" spans="1:9" s="404" customFormat="1">
      <c r="A1250" s="2245"/>
      <c r="B1250" s="2265"/>
      <c r="C1250" s="2223" t="s">
        <v>1272</v>
      </c>
      <c r="D1250" s="2224"/>
      <c r="E1250" s="2225"/>
      <c r="F1250" s="1960" t="s">
        <v>1276</v>
      </c>
      <c r="G1250" s="548"/>
      <c r="H1250" s="550">
        <v>59000</v>
      </c>
    </row>
    <row r="1251" spans="1:9" s="404" customFormat="1">
      <c r="A1251" s="2245"/>
      <c r="B1251" s="2265"/>
      <c r="C1251" s="2223" t="s">
        <v>1274</v>
      </c>
      <c r="D1251" s="2224"/>
      <c r="E1251" s="2225"/>
      <c r="F1251" s="557">
        <v>133</v>
      </c>
      <c r="G1251" s="548"/>
      <c r="H1251" s="550">
        <v>59000</v>
      </c>
    </row>
    <row r="1252" spans="1:9" s="404" customFormat="1">
      <c r="A1252" s="2245"/>
      <c r="B1252" s="2265"/>
      <c r="C1252" s="2223" t="s">
        <v>1272</v>
      </c>
      <c r="D1252" s="2224"/>
      <c r="E1252" s="2225"/>
      <c r="F1252" s="557" t="s">
        <v>1277</v>
      </c>
      <c r="G1252" s="548"/>
      <c r="H1252" s="550">
        <v>59000</v>
      </c>
    </row>
    <row r="1253" spans="1:9" s="404" customFormat="1" ht="15.75" thickBot="1">
      <c r="A1253" s="2245"/>
      <c r="B1253" s="2265"/>
      <c r="C1253" s="2226" t="s">
        <v>1278</v>
      </c>
      <c r="D1253" s="2227"/>
      <c r="E1253" s="2228"/>
      <c r="F1253" s="1984" t="s">
        <v>968</v>
      </c>
      <c r="G1253" s="566"/>
      <c r="H1253" s="569">
        <v>33625000</v>
      </c>
    </row>
    <row r="1254" spans="1:9" s="404" customFormat="1" ht="15.75" thickTop="1">
      <c r="A1254" s="2245"/>
      <c r="B1254" s="2265"/>
      <c r="C1254" s="2305" t="s">
        <v>1270</v>
      </c>
      <c r="D1254" s="2306"/>
      <c r="E1254" s="2306"/>
      <c r="F1254" s="2307"/>
      <c r="G1254" s="564" t="s">
        <v>168</v>
      </c>
      <c r="H1254" s="565">
        <f>SUM(H1247:H1253)</f>
        <v>44520500</v>
      </c>
    </row>
    <row r="1255" spans="1:9" s="404" customFormat="1">
      <c r="C1255" s="413"/>
      <c r="D1255" s="413"/>
      <c r="E1255" s="413"/>
      <c r="F1255" s="413"/>
      <c r="H1255" s="407"/>
    </row>
    <row r="1256" spans="1:9" s="404" customFormat="1">
      <c r="C1256" s="413"/>
      <c r="D1256" s="413"/>
      <c r="E1256" s="413"/>
      <c r="F1256" s="413"/>
      <c r="H1256" s="407"/>
    </row>
    <row r="1257" spans="1:9" s="404" customFormat="1" ht="15.75" thickBot="1">
      <c r="A1257" s="2447" t="s">
        <v>1279</v>
      </c>
      <c r="B1257" s="2447"/>
      <c r="C1257" s="2447"/>
      <c r="D1257" s="2447"/>
      <c r="E1257" s="2447"/>
      <c r="F1257" s="2447"/>
      <c r="G1257" s="1994"/>
      <c r="H1257" s="1995">
        <f>SUM(H927,H1235,H1254,H1243)</f>
        <v>2143545527</v>
      </c>
      <c r="I1257" s="409"/>
    </row>
    <row r="1258" spans="1:9" s="404" customFormat="1" ht="17.25" customHeight="1" thickTop="1">
      <c r="A1258" s="2448" t="s">
        <v>1280</v>
      </c>
      <c r="B1258" s="2448"/>
      <c r="C1258" s="2448"/>
      <c r="D1258" s="2448"/>
      <c r="E1258" s="2448"/>
      <c r="F1258" s="2448"/>
      <c r="G1258" s="2448"/>
      <c r="H1258" s="2448"/>
    </row>
    <row r="1259" spans="1:9" s="404" customFormat="1" ht="15.75" customHeight="1">
      <c r="A1259" s="2286"/>
      <c r="B1259" s="2286"/>
      <c r="C1259" s="2286"/>
      <c r="D1259" s="2286"/>
      <c r="E1259" s="2286"/>
      <c r="F1259" s="2286"/>
      <c r="G1259" s="2286"/>
      <c r="H1259" s="2286"/>
    </row>
    <row r="1260" spans="1:9" s="404" customFormat="1">
      <c r="A1260" s="2256" t="s">
        <v>466</v>
      </c>
      <c r="B1260" s="2258" t="s">
        <v>467</v>
      </c>
      <c r="C1260" s="2259"/>
      <c r="D1260" s="2259"/>
      <c r="E1260" s="2256"/>
      <c r="F1260" s="2262"/>
      <c r="G1260" s="2258" t="s">
        <v>1484</v>
      </c>
      <c r="H1260" s="2256"/>
      <c r="I1260" s="411"/>
    </row>
    <row r="1261" spans="1:9" s="404" customFormat="1">
      <c r="A1261" s="2257"/>
      <c r="B1261" s="2260"/>
      <c r="C1261" s="2261"/>
      <c r="D1261" s="2261"/>
      <c r="E1261" s="2257"/>
      <c r="F1261" s="2263"/>
      <c r="G1261" s="2260"/>
      <c r="H1261" s="2257"/>
      <c r="I1261" s="412"/>
    </row>
    <row r="1262" spans="1:9" s="404" customFormat="1">
      <c r="A1262" s="2244"/>
      <c r="B1262" s="2264"/>
      <c r="C1262" s="2296" t="s">
        <v>488</v>
      </c>
      <c r="D1262" s="2272"/>
      <c r="E1262" s="2272"/>
      <c r="F1262" s="2272"/>
      <c r="G1262" s="2272"/>
      <c r="H1262" s="2273"/>
    </row>
    <row r="1263" spans="1:9" s="404" customFormat="1">
      <c r="A1263" s="2245"/>
      <c r="B1263" s="2265"/>
      <c r="C1263" s="2247" t="s">
        <v>1940</v>
      </c>
      <c r="D1263" s="2248"/>
      <c r="E1263" s="2248"/>
      <c r="F1263" s="2248"/>
      <c r="G1263" s="2249"/>
      <c r="H1263" s="559">
        <v>1160000</v>
      </c>
    </row>
    <row r="1264" spans="1:9" s="404" customFormat="1">
      <c r="A1264" s="2245"/>
      <c r="B1264" s="2265"/>
      <c r="C1264" s="2247" t="s">
        <v>1941</v>
      </c>
      <c r="D1264" s="2248"/>
      <c r="E1264" s="2248"/>
      <c r="F1264" s="2248"/>
      <c r="G1264" s="2249"/>
      <c r="H1264" s="559">
        <v>32550000</v>
      </c>
    </row>
    <row r="1265" spans="1:9" s="404" customFormat="1">
      <c r="A1265" s="2245"/>
      <c r="B1265" s="2265"/>
      <c r="C1265" s="2247" t="s">
        <v>1942</v>
      </c>
      <c r="D1265" s="2248"/>
      <c r="E1265" s="2248"/>
      <c r="F1265" s="2248"/>
      <c r="G1265" s="2249"/>
      <c r="H1265" s="559"/>
    </row>
    <row r="1266" spans="1:9" s="404" customFormat="1" ht="15.75" thickBot="1">
      <c r="A1266" s="2245"/>
      <c r="B1266" s="2265"/>
      <c r="C1266" s="2250" t="s">
        <v>1943</v>
      </c>
      <c r="D1266" s="2251"/>
      <c r="E1266" s="2251"/>
      <c r="F1266" s="2251"/>
      <c r="G1266" s="2252"/>
      <c r="H1266" s="567">
        <v>2073803702</v>
      </c>
    </row>
    <row r="1267" spans="1:9" s="404" customFormat="1" ht="15.75" thickTop="1">
      <c r="A1267" s="2246"/>
      <c r="B1267" s="2274"/>
      <c r="C1267" s="2449" t="s">
        <v>1917</v>
      </c>
      <c r="D1267" s="2450"/>
      <c r="E1267" s="2450"/>
      <c r="F1267" s="2450"/>
      <c r="G1267" s="2451"/>
      <c r="H1267" s="565">
        <f>SUM(H1263:H1266)</f>
        <v>2107513702</v>
      </c>
    </row>
    <row r="1268" spans="1:9" s="404" customFormat="1">
      <c r="A1268" s="2256" t="s">
        <v>466</v>
      </c>
      <c r="B1268" s="2258" t="s">
        <v>467</v>
      </c>
      <c r="C1268" s="2259"/>
      <c r="D1268" s="2259"/>
      <c r="E1268" s="2256"/>
      <c r="F1268" s="2262"/>
      <c r="G1268" s="2258" t="s">
        <v>1484</v>
      </c>
      <c r="H1268" s="2256"/>
      <c r="I1268" s="411"/>
    </row>
    <row r="1269" spans="1:9" s="404" customFormat="1">
      <c r="A1269" s="2257"/>
      <c r="B1269" s="2260"/>
      <c r="C1269" s="2261"/>
      <c r="D1269" s="2261"/>
      <c r="E1269" s="2257"/>
      <c r="F1269" s="2263"/>
      <c r="G1269" s="2260"/>
      <c r="H1269" s="2257"/>
      <c r="I1269" s="412"/>
    </row>
    <row r="1270" spans="1:9" s="404" customFormat="1">
      <c r="A1270" s="2244"/>
      <c r="B1270" s="2264"/>
      <c r="C1270" s="2296" t="s">
        <v>1282</v>
      </c>
      <c r="D1270" s="2272"/>
      <c r="E1270" s="2272"/>
      <c r="F1270" s="2272"/>
      <c r="G1270" s="2272"/>
      <c r="H1270" s="2273"/>
    </row>
    <row r="1271" spans="1:9" s="404" customFormat="1" ht="15.75" thickBot="1">
      <c r="A1271" s="2245"/>
      <c r="B1271" s="2265"/>
      <c r="C1271" s="2250" t="s">
        <v>1944</v>
      </c>
      <c r="D1271" s="2251"/>
      <c r="E1271" s="2251"/>
      <c r="F1271" s="2251"/>
      <c r="G1271" s="2252"/>
      <c r="H1271" s="567">
        <v>163160646</v>
      </c>
    </row>
    <row r="1272" spans="1:9" s="404" customFormat="1" ht="15.75" thickTop="1">
      <c r="A1272" s="2245"/>
      <c r="B1272" s="2265"/>
      <c r="C1272" s="570" t="s">
        <v>1918</v>
      </c>
      <c r="D1272" s="570"/>
      <c r="E1272" s="570"/>
      <c r="F1272" s="570"/>
      <c r="G1272" s="571" t="s">
        <v>168</v>
      </c>
      <c r="H1272" s="572">
        <f>SUM(H1271)</f>
        <v>163160646</v>
      </c>
    </row>
    <row r="1273" spans="1:9" s="404" customFormat="1">
      <c r="A1273" s="1925"/>
      <c r="B1273" s="1925"/>
      <c r="C1273" s="413"/>
      <c r="D1273" s="413"/>
      <c r="E1273" s="413"/>
      <c r="F1273" s="413"/>
      <c r="H1273" s="407"/>
      <c r="I1273" s="1925"/>
    </row>
    <row r="1274" spans="1:9" s="404" customFormat="1" ht="15.75" thickBot="1">
      <c r="A1274" s="2452" t="s">
        <v>1284</v>
      </c>
      <c r="B1274" s="2452"/>
      <c r="C1274" s="2452"/>
      <c r="D1274" s="2452"/>
      <c r="E1274" s="2452"/>
      <c r="F1274" s="2452"/>
      <c r="G1274" s="1996"/>
      <c r="H1274" s="1997">
        <f>SUM(H1267,H1272)</f>
        <v>2270674348</v>
      </c>
      <c r="I1274" s="409"/>
    </row>
    <row r="1275" spans="1:9" s="404" customFormat="1" ht="15.75" thickTop="1">
      <c r="A1275" s="1998"/>
      <c r="B1275" s="1998"/>
      <c r="C1275" s="1998"/>
      <c r="D1275" s="1998"/>
      <c r="E1275" s="1998"/>
      <c r="F1275" s="1998"/>
      <c r="G1275" s="1946"/>
      <c r="H1275" s="1933"/>
    </row>
    <row r="1276" spans="1:9" s="404" customFormat="1">
      <c r="A1276" s="1998"/>
      <c r="B1276" s="1998"/>
      <c r="C1276" s="1998"/>
      <c r="D1276" s="1998"/>
      <c r="E1276" s="1998"/>
      <c r="F1276" s="1998"/>
      <c r="G1276" s="1946"/>
      <c r="H1276" s="1933"/>
    </row>
    <row r="1277" spans="1:9" s="404" customFormat="1">
      <c r="A1277" s="2256" t="s">
        <v>466</v>
      </c>
      <c r="B1277" s="2258" t="s">
        <v>467</v>
      </c>
      <c r="C1277" s="2259"/>
      <c r="D1277" s="2259"/>
      <c r="E1277" s="2256"/>
      <c r="F1277" s="2262"/>
      <c r="G1277" s="2258" t="s">
        <v>1484</v>
      </c>
      <c r="H1277" s="2256"/>
      <c r="I1277" s="411"/>
    </row>
    <row r="1278" spans="1:9" s="404" customFormat="1">
      <c r="A1278" s="2257"/>
      <c r="B1278" s="2260"/>
      <c r="C1278" s="2261"/>
      <c r="D1278" s="2261"/>
      <c r="E1278" s="2257"/>
      <c r="F1278" s="2263"/>
      <c r="G1278" s="2260"/>
      <c r="H1278" s="2257"/>
      <c r="I1278" s="412"/>
    </row>
    <row r="1279" spans="1:9" s="404" customFormat="1" ht="15.75" customHeight="1">
      <c r="A1279" s="2283" t="s">
        <v>1285</v>
      </c>
      <c r="B1279" s="2283"/>
      <c r="C1279" s="2283"/>
      <c r="D1279" s="2283"/>
      <c r="E1279" s="2283"/>
      <c r="F1279" s="2283"/>
      <c r="G1279" s="2283"/>
      <c r="H1279" s="2283"/>
      <c r="I1279" s="1925"/>
    </row>
    <row r="1280" spans="1:9" s="404" customFormat="1" ht="15.75" customHeight="1">
      <c r="A1280" s="2286"/>
      <c r="B1280" s="2286"/>
      <c r="C1280" s="2286"/>
      <c r="D1280" s="2286"/>
      <c r="E1280" s="2286"/>
      <c r="F1280" s="2286"/>
      <c r="G1280" s="2286"/>
      <c r="H1280" s="2286"/>
      <c r="I1280" s="1925"/>
    </row>
    <row r="1281" spans="1:9" s="404" customFormat="1">
      <c r="A1281" s="2256" t="s">
        <v>466</v>
      </c>
      <c r="B1281" s="2258" t="s">
        <v>467</v>
      </c>
      <c r="C1281" s="2259"/>
      <c r="D1281" s="2259"/>
      <c r="E1281" s="2256"/>
      <c r="F1281" s="2262"/>
      <c r="G1281" s="2258" t="s">
        <v>1484</v>
      </c>
      <c r="H1281" s="2256"/>
      <c r="I1281" s="411"/>
    </row>
    <row r="1282" spans="1:9" s="404" customFormat="1">
      <c r="A1282" s="2257"/>
      <c r="B1282" s="2260"/>
      <c r="C1282" s="2261"/>
      <c r="D1282" s="2261"/>
      <c r="E1282" s="2257"/>
      <c r="F1282" s="2263"/>
      <c r="G1282" s="2260"/>
      <c r="H1282" s="2257"/>
      <c r="I1282" s="412"/>
    </row>
    <row r="1283" spans="1:9" s="404" customFormat="1">
      <c r="A1283" s="2278"/>
      <c r="B1283" s="2279"/>
      <c r="C1283" s="2296" t="s">
        <v>402</v>
      </c>
      <c r="D1283" s="2272"/>
      <c r="E1283" s="2272"/>
      <c r="F1283" s="2272"/>
      <c r="G1283" s="2272"/>
      <c r="H1283" s="2273"/>
      <c r="I1283" s="1925"/>
    </row>
    <row r="1284" spans="1:9" s="404" customFormat="1" ht="15.75" thickBot="1">
      <c r="A1284" s="2280"/>
      <c r="B1284" s="2281"/>
      <c r="C1284" s="2250" t="s">
        <v>1286</v>
      </c>
      <c r="D1284" s="2251"/>
      <c r="E1284" s="2251"/>
      <c r="F1284" s="2252"/>
      <c r="G1284" s="2453">
        <v>1777445</v>
      </c>
      <c r="H1284" s="2454"/>
      <c r="I1284" s="1925"/>
    </row>
    <row r="1285" spans="1:9" s="404" customFormat="1" ht="15.75" thickTop="1">
      <c r="A1285" s="2288"/>
      <c r="B1285" s="2289"/>
      <c r="C1285" s="2305" t="s">
        <v>1919</v>
      </c>
      <c r="D1285" s="2306"/>
      <c r="E1285" s="2306"/>
      <c r="F1285" s="2306"/>
      <c r="G1285" s="2455">
        <f>SUM(G1284)</f>
        <v>1777445</v>
      </c>
      <c r="H1285" s="2456"/>
      <c r="I1285" s="1925"/>
    </row>
    <row r="1286" spans="1:9" s="404" customFormat="1">
      <c r="A1286" s="2256" t="s">
        <v>466</v>
      </c>
      <c r="B1286" s="2258" t="s">
        <v>467</v>
      </c>
      <c r="C1286" s="2259"/>
      <c r="D1286" s="2259"/>
      <c r="E1286" s="2256"/>
      <c r="F1286" s="2262"/>
      <c r="G1286" s="2258" t="s">
        <v>1484</v>
      </c>
      <c r="H1286" s="2256"/>
      <c r="I1286" s="411"/>
    </row>
    <row r="1287" spans="1:9" s="404" customFormat="1">
      <c r="A1287" s="2257"/>
      <c r="B1287" s="2260"/>
      <c r="C1287" s="2261"/>
      <c r="D1287" s="2261"/>
      <c r="E1287" s="2257"/>
      <c r="F1287" s="2263"/>
      <c r="G1287" s="2260"/>
      <c r="H1287" s="2257"/>
      <c r="I1287" s="412"/>
    </row>
    <row r="1288" spans="1:9" s="404" customFormat="1">
      <c r="A1288" s="2278"/>
      <c r="B1288" s="2279"/>
      <c r="C1288" s="2296" t="s">
        <v>488</v>
      </c>
      <c r="D1288" s="2272"/>
      <c r="E1288" s="2272"/>
      <c r="F1288" s="2272"/>
      <c r="G1288" s="2272"/>
      <c r="H1288" s="2273"/>
      <c r="I1288" s="1925"/>
    </row>
    <row r="1289" spans="1:9" s="404" customFormat="1">
      <c r="A1289" s="2280"/>
      <c r="B1289" s="2281"/>
      <c r="C1289" s="547" t="s">
        <v>1281</v>
      </c>
      <c r="D1289" s="547"/>
      <c r="E1289" s="547"/>
      <c r="F1289" s="547"/>
      <c r="G1289" s="548"/>
      <c r="H1289" s="559">
        <v>18881000</v>
      </c>
      <c r="I1289" s="1925"/>
    </row>
    <row r="1290" spans="1:9" s="404" customFormat="1">
      <c r="A1290" s="2280"/>
      <c r="B1290" s="2281"/>
      <c r="C1290" s="547" t="s">
        <v>1287</v>
      </c>
      <c r="D1290" s="547"/>
      <c r="E1290" s="547"/>
      <c r="F1290" s="547"/>
      <c r="G1290" s="548"/>
      <c r="H1290" s="559">
        <v>1626504</v>
      </c>
      <c r="I1290" s="1925"/>
    </row>
    <row r="1291" spans="1:9" s="404" customFormat="1" ht="15.75" thickBot="1">
      <c r="A1291" s="2280"/>
      <c r="B1291" s="2281"/>
      <c r="C1291" s="568" t="s">
        <v>1288</v>
      </c>
      <c r="D1291" s="568"/>
      <c r="E1291" s="568"/>
      <c r="F1291" s="568"/>
      <c r="G1291" s="566"/>
      <c r="H1291" s="567">
        <v>263205360</v>
      </c>
      <c r="I1291" s="1925"/>
    </row>
    <row r="1292" spans="1:9" s="404" customFormat="1" ht="15.75" thickTop="1">
      <c r="A1292" s="2288"/>
      <c r="B1292" s="2289"/>
      <c r="C1292" s="2305" t="s">
        <v>1920</v>
      </c>
      <c r="D1292" s="2306"/>
      <c r="E1292" s="2306"/>
      <c r="F1292" s="2306"/>
      <c r="G1292" s="2307"/>
      <c r="H1292" s="573">
        <f>SUM(H1289:H1291)</f>
        <v>283712864</v>
      </c>
      <c r="I1292" s="1925"/>
    </row>
    <row r="1293" spans="1:9" s="404" customFormat="1">
      <c r="A1293" s="2256" t="s">
        <v>466</v>
      </c>
      <c r="B1293" s="2258" t="s">
        <v>467</v>
      </c>
      <c r="C1293" s="2259"/>
      <c r="D1293" s="2259"/>
      <c r="E1293" s="2256"/>
      <c r="F1293" s="2262"/>
      <c r="G1293" s="2258" t="s">
        <v>1484</v>
      </c>
      <c r="H1293" s="2256"/>
      <c r="I1293" s="411"/>
    </row>
    <row r="1294" spans="1:9" s="404" customFormat="1" ht="15.75" thickBot="1">
      <c r="A1294" s="2257"/>
      <c r="B1294" s="2457"/>
      <c r="C1294" s="2458"/>
      <c r="D1294" s="2458"/>
      <c r="E1294" s="2459"/>
      <c r="F1294" s="2460"/>
      <c r="G1294" s="2461"/>
      <c r="H1294" s="2462"/>
      <c r="I1294" s="412"/>
    </row>
    <row r="1295" spans="1:9" s="404" customFormat="1" ht="15.75" thickTop="1">
      <c r="A1295" s="2278"/>
      <c r="B1295" s="2279"/>
      <c r="C1295" s="2463" t="s">
        <v>1282</v>
      </c>
      <c r="D1295" s="2464"/>
      <c r="E1295" s="2464"/>
      <c r="F1295" s="2464"/>
      <c r="G1295" s="2464"/>
      <c r="H1295" s="2465"/>
      <c r="I1295" s="1925"/>
    </row>
    <row r="1296" spans="1:9" s="404" customFormat="1" ht="15.75" thickBot="1">
      <c r="A1296" s="2280"/>
      <c r="B1296" s="2281"/>
      <c r="C1296" s="568" t="s">
        <v>1283</v>
      </c>
      <c r="D1296" s="568"/>
      <c r="E1296" s="568"/>
      <c r="F1296" s="568"/>
      <c r="G1296" s="566"/>
      <c r="H1296" s="567">
        <f>676493+19867804</f>
        <v>20544297</v>
      </c>
      <c r="I1296" s="1925"/>
    </row>
    <row r="1297" spans="1:9" s="404" customFormat="1" ht="17.25" customHeight="1" thickTop="1">
      <c r="A1297" s="2280"/>
      <c r="B1297" s="2281"/>
      <c r="C1297" s="2466" t="s">
        <v>1918</v>
      </c>
      <c r="D1297" s="2467"/>
      <c r="E1297" s="2467"/>
      <c r="F1297" s="2467"/>
      <c r="G1297" s="2468"/>
      <c r="H1297" s="574">
        <f>SUM(H1296)</f>
        <v>20544297</v>
      </c>
    </row>
    <row r="1298" spans="1:9" s="404" customFormat="1" ht="15.75" thickBot="1">
      <c r="B1298" s="1946"/>
      <c r="C1298" s="1946"/>
      <c r="D1298" s="1946"/>
      <c r="E1298" s="1946"/>
      <c r="F1298" s="1946"/>
      <c r="G1298" s="1999"/>
      <c r="H1298" s="2000"/>
    </row>
    <row r="1299" spans="1:9" s="404" customFormat="1" ht="16.5" thickTop="1" thickBot="1">
      <c r="A1299" s="2469" t="s">
        <v>1289</v>
      </c>
      <c r="B1299" s="2470"/>
      <c r="C1299" s="2470"/>
      <c r="D1299" s="2470"/>
      <c r="E1299" s="2470"/>
      <c r="F1299" s="2471"/>
      <c r="G1299" s="2001"/>
      <c r="H1299" s="2002">
        <f>SUM(G1285,H1292,H1297)</f>
        <v>306034606</v>
      </c>
      <c r="I1299" s="575"/>
    </row>
    <row r="1300" spans="1:9" s="404" customFormat="1" ht="15.75" thickTop="1">
      <c r="B1300" s="1946"/>
      <c r="C1300" s="1946"/>
      <c r="D1300" s="1946"/>
      <c r="E1300" s="1946"/>
      <c r="F1300" s="1946"/>
      <c r="G1300" s="1999"/>
      <c r="H1300" s="2000"/>
    </row>
    <row r="1301" spans="1:9" s="404" customFormat="1" ht="29.25" customHeight="1" thickBot="1">
      <c r="A1301" s="2472" t="s">
        <v>1290</v>
      </c>
      <c r="B1301" s="2472"/>
      <c r="C1301" s="2472"/>
      <c r="D1301" s="2472"/>
      <c r="E1301" s="2472"/>
      <c r="F1301" s="2472"/>
      <c r="G1301" s="2003"/>
      <c r="H1301" s="2004">
        <f>+H310+H410+H461+H690+H728+H733+H742+H1257+H1274</f>
        <v>8797178540</v>
      </c>
      <c r="I1301" s="414"/>
    </row>
    <row r="1302" spans="1:9" s="404" customFormat="1" ht="15.75" thickTop="1">
      <c r="A1302" s="1998"/>
      <c r="B1302" s="1998"/>
      <c r="C1302" s="1998"/>
      <c r="D1302" s="1998"/>
      <c r="E1302" s="1998"/>
      <c r="F1302" s="1998"/>
      <c r="G1302" s="1946"/>
      <c r="H1302" s="1933"/>
    </row>
    <row r="1303" spans="1:9" s="404" customFormat="1">
      <c r="A1303" s="2256" t="s">
        <v>466</v>
      </c>
      <c r="B1303" s="2258" t="s">
        <v>467</v>
      </c>
      <c r="C1303" s="2259"/>
      <c r="D1303" s="2259"/>
      <c r="E1303" s="2256"/>
      <c r="F1303" s="2262"/>
      <c r="G1303" s="2258" t="s">
        <v>1484</v>
      </c>
      <c r="H1303" s="2256"/>
      <c r="I1303" s="411"/>
    </row>
    <row r="1304" spans="1:9" s="404" customFormat="1">
      <c r="A1304" s="2257"/>
      <c r="B1304" s="2260"/>
      <c r="C1304" s="2261"/>
      <c r="D1304" s="2261"/>
      <c r="E1304" s="2257"/>
      <c r="F1304" s="2263"/>
      <c r="G1304" s="2260"/>
      <c r="H1304" s="2257"/>
      <c r="I1304" s="412"/>
    </row>
    <row r="1305" spans="1:9" s="404" customFormat="1" ht="53.25" customHeight="1">
      <c r="A1305" s="2473" t="s">
        <v>1291</v>
      </c>
      <c r="B1305" s="2473"/>
      <c r="C1305" s="2473"/>
      <c r="D1305" s="2473"/>
      <c r="E1305" s="2473"/>
      <c r="F1305" s="2473"/>
      <c r="G1305" s="2005"/>
      <c r="H1305" s="2006">
        <f>SUM(H1308:H1312)</f>
        <v>8815140881</v>
      </c>
      <c r="I1305" s="1925"/>
    </row>
    <row r="1306" spans="1:9" s="404" customFormat="1">
      <c r="A1306" s="1925"/>
      <c r="B1306" s="1925"/>
      <c r="C1306" s="413"/>
      <c r="D1306" s="413"/>
      <c r="E1306" s="413"/>
      <c r="F1306" s="413"/>
      <c r="H1306" s="407"/>
      <c r="I1306" s="1925"/>
    </row>
    <row r="1307" spans="1:9" s="404" customFormat="1">
      <c r="A1307" s="404" t="s">
        <v>1292</v>
      </c>
      <c r="B1307" s="1925"/>
      <c r="C1307" s="413"/>
      <c r="D1307" s="413"/>
      <c r="E1307" s="413"/>
      <c r="F1307" s="413"/>
      <c r="H1307" s="407"/>
      <c r="I1307" s="1925"/>
    </row>
    <row r="1308" spans="1:9" s="404" customFormat="1">
      <c r="B1308" s="2474" t="s">
        <v>1293</v>
      </c>
      <c r="C1308" s="2474"/>
      <c r="D1308" s="2474"/>
      <c r="E1308" s="2474"/>
      <c r="F1308" s="2474"/>
      <c r="H1308" s="2007">
        <f>+H310+H1263+H1265+H1290</f>
        <v>496813827</v>
      </c>
    </row>
    <row r="1309" spans="1:9" s="404" customFormat="1">
      <c r="C1309" s="413"/>
      <c r="D1309" s="413"/>
      <c r="E1309" s="413"/>
      <c r="F1309" s="413"/>
      <c r="H1309" s="407"/>
    </row>
    <row r="1310" spans="1:9" s="404" customFormat="1">
      <c r="B1310" s="2474" t="s">
        <v>1294</v>
      </c>
      <c r="C1310" s="2474"/>
      <c r="D1310" s="2474"/>
      <c r="E1310" s="2474"/>
      <c r="F1310" s="2474"/>
      <c r="H1310" s="2007">
        <f>+H22+H70+H104+H147+H745+H1264+H1266+H1271+G1284+H1289+H1291+H1296-H321-H1299</f>
        <v>6174781527</v>
      </c>
    </row>
    <row r="1311" spans="1:9" s="404" customFormat="1">
      <c r="C1311" s="2234"/>
      <c r="D1311" s="2234"/>
      <c r="E1311" s="2234"/>
      <c r="F1311" s="2234"/>
      <c r="H1311" s="407"/>
    </row>
    <row r="1312" spans="1:9" s="404" customFormat="1">
      <c r="B1312" s="2474" t="s">
        <v>1295</v>
      </c>
      <c r="C1312" s="2474"/>
      <c r="D1312" s="2474"/>
      <c r="E1312" s="2474"/>
      <c r="F1312" s="2474"/>
      <c r="H1312" s="1933">
        <f>+H927+H1235+H1243+H1254</f>
        <v>2143545527</v>
      </c>
    </row>
    <row r="1313" spans="1:9" s="404" customFormat="1">
      <c r="C1313" s="2475"/>
      <c r="D1313" s="2475"/>
      <c r="E1313" s="2475"/>
      <c r="F1313" s="2475"/>
      <c r="H1313" s="407"/>
    </row>
    <row r="1314" spans="1:9" s="404" customFormat="1" ht="18.75" customHeight="1">
      <c r="A1314" s="2476" t="s">
        <v>1945</v>
      </c>
      <c r="B1314" s="2477"/>
      <c r="C1314" s="2477"/>
      <c r="D1314" s="2477"/>
      <c r="E1314" s="2477"/>
      <c r="F1314" s="2477"/>
      <c r="G1314" s="2477"/>
      <c r="H1314" s="2478"/>
    </row>
    <row r="1315" spans="1:9" s="404" customFormat="1" ht="18.75" customHeight="1">
      <c r="A1315" s="2479"/>
      <c r="B1315" s="2480"/>
      <c r="C1315" s="2480"/>
      <c r="D1315" s="2480"/>
      <c r="E1315" s="2480"/>
      <c r="F1315" s="2480"/>
      <c r="G1315" s="2480"/>
      <c r="H1315" s="2481"/>
    </row>
    <row r="1316" spans="1:9" s="404" customFormat="1">
      <c r="A1316" s="2482"/>
      <c r="B1316" s="2264"/>
      <c r="C1316" s="2247" t="s">
        <v>1296</v>
      </c>
      <c r="D1316" s="2248"/>
      <c r="E1316" s="2248"/>
      <c r="F1316" s="2248"/>
      <c r="G1316" s="2249"/>
      <c r="H1316" s="559">
        <v>0</v>
      </c>
    </row>
    <row r="1317" spans="1:9" s="404" customFormat="1">
      <c r="A1317" s="2483"/>
      <c r="B1317" s="2265"/>
      <c r="C1317" s="2247" t="s">
        <v>1297</v>
      </c>
      <c r="D1317" s="2248"/>
      <c r="E1317" s="2248"/>
      <c r="F1317" s="2248"/>
      <c r="G1317" s="2249"/>
      <c r="H1317" s="559">
        <v>0</v>
      </c>
    </row>
    <row r="1318" spans="1:9" s="404" customFormat="1">
      <c r="A1318" s="2484"/>
      <c r="B1318" s="2274"/>
      <c r="C1318" s="2485" t="s">
        <v>168</v>
      </c>
      <c r="D1318" s="2486"/>
      <c r="E1318" s="2486"/>
      <c r="F1318" s="2486"/>
      <c r="G1318" s="2487"/>
      <c r="H1318" s="553">
        <f>SUM(H1316:H1317)</f>
        <v>0</v>
      </c>
    </row>
    <row r="1319" spans="1:9" s="404" customFormat="1">
      <c r="C1319" s="413"/>
      <c r="D1319" s="413"/>
      <c r="E1319" s="413"/>
      <c r="F1319" s="413"/>
      <c r="G1319" s="2000"/>
      <c r="H1319" s="2000"/>
    </row>
    <row r="1320" spans="1:9" s="404" customFormat="1" ht="28.5" customHeight="1" thickBot="1">
      <c r="A1320" s="2488" t="s">
        <v>1946</v>
      </c>
      <c r="B1320" s="2488"/>
      <c r="C1320" s="2488"/>
      <c r="D1320" s="2488"/>
      <c r="E1320" s="2488"/>
      <c r="F1320" s="2488"/>
      <c r="G1320" s="2008"/>
      <c r="H1320" s="2009">
        <f>+H1318</f>
        <v>0</v>
      </c>
      <c r="I1320" s="466"/>
    </row>
    <row r="1321" spans="1:9" s="404" customFormat="1" ht="15.75" thickTop="1">
      <c r="A1321" s="1925"/>
      <c r="B1321" s="1925"/>
      <c r="C1321" s="2232"/>
      <c r="D1321" s="2232"/>
      <c r="E1321" s="2232"/>
      <c r="F1321" s="2232"/>
      <c r="H1321" s="407"/>
      <c r="I1321" s="1925"/>
    </row>
    <row r="1322" spans="1:9" s="404" customFormat="1" ht="15.75" thickBot="1">
      <c r="A1322" s="1925"/>
      <c r="B1322" s="1925"/>
      <c r="C1322" s="2233" t="s">
        <v>1298</v>
      </c>
      <c r="D1322" s="2233"/>
      <c r="E1322" s="2233"/>
      <c r="F1322" s="2233"/>
      <c r="H1322" s="407"/>
      <c r="I1322" s="1925"/>
    </row>
    <row r="1323" spans="1:9" s="404" customFormat="1" ht="15.75" thickTop="1">
      <c r="A1323" s="1925"/>
      <c r="B1323" s="1925"/>
      <c r="C1323" s="2489"/>
      <c r="D1323" s="2489"/>
      <c r="E1323" s="2489"/>
      <c r="F1323" s="2489"/>
      <c r="H1323" s="407"/>
      <c r="I1323" s="1925"/>
    </row>
    <row r="1324" spans="1:9" s="404" customFormat="1">
      <c r="A1324" s="1925"/>
      <c r="B1324" s="1925"/>
      <c r="C1324" s="2234" t="s">
        <v>1299</v>
      </c>
      <c r="D1324" s="2234"/>
      <c r="E1324" s="2234"/>
      <c r="F1324" s="2234"/>
      <c r="H1324" s="530">
        <f>14829439+330130+72579130</f>
        <v>87738699</v>
      </c>
      <c r="I1324" s="1925"/>
    </row>
    <row r="1325" spans="1:9" s="404" customFormat="1">
      <c r="A1325" s="1925"/>
      <c r="B1325" s="1925"/>
      <c r="C1325" s="2234"/>
      <c r="D1325" s="2234"/>
      <c r="E1325" s="2234"/>
      <c r="F1325" s="2234"/>
      <c r="H1325" s="407"/>
      <c r="I1325" s="1925"/>
    </row>
    <row r="1326" spans="1:9" s="404" customFormat="1">
      <c r="A1326" s="1925"/>
      <c r="B1326" s="1925"/>
      <c r="C1326" s="2234" t="s">
        <v>1300</v>
      </c>
      <c r="D1326" s="2234"/>
      <c r="E1326" s="2234"/>
      <c r="F1326" s="2234"/>
      <c r="H1326" s="530">
        <f>838000+3137325+1762664+13569000</f>
        <v>19306989</v>
      </c>
      <c r="I1326" s="1925"/>
    </row>
    <row r="1327" spans="1:9" s="404" customFormat="1">
      <c r="A1327" s="1925"/>
      <c r="B1327" s="1925"/>
      <c r="C1327" s="2234"/>
      <c r="D1327" s="2234"/>
      <c r="E1327" s="2234"/>
      <c r="F1327" s="2234"/>
      <c r="H1327" s="407"/>
      <c r="I1327" s="1925"/>
    </row>
    <row r="1328" spans="1:9" s="404" customFormat="1">
      <c r="A1328" s="1925"/>
      <c r="B1328" s="1925"/>
      <c r="C1328" s="413"/>
      <c r="D1328" s="413"/>
      <c r="E1328" s="413"/>
      <c r="F1328" s="413"/>
      <c r="H1328" s="407"/>
      <c r="I1328" s="1925"/>
    </row>
    <row r="1329" spans="1:12" s="404" customFormat="1" ht="15" customHeight="1">
      <c r="A1329" s="1925"/>
      <c r="B1329" s="1925"/>
      <c r="C1329" s="2490" t="s">
        <v>1301</v>
      </c>
      <c r="D1329" s="2490"/>
      <c r="E1329" s="2490"/>
      <c r="F1329" s="2490"/>
      <c r="H1329" s="530">
        <f>17878203+6799655+217104709+33784389+58085177+351066+16883201+21350465+0+14764</f>
        <v>372251629</v>
      </c>
      <c r="I1329" s="1925"/>
    </row>
    <row r="1330" spans="1:12" s="404" customFormat="1" ht="15" customHeight="1">
      <c r="A1330" s="1925"/>
      <c r="B1330" s="1925"/>
      <c r="C1330" s="2010"/>
      <c r="D1330" s="2010"/>
      <c r="E1330" s="2010"/>
      <c r="F1330" s="2010"/>
      <c r="H1330" s="530"/>
      <c r="I1330" s="1925"/>
    </row>
    <row r="1331" spans="1:12" s="404" customFormat="1">
      <c r="A1331" s="2259" t="s">
        <v>466</v>
      </c>
      <c r="B1331" s="2259" t="s">
        <v>467</v>
      </c>
      <c r="C1331" s="2259"/>
      <c r="D1331" s="2259"/>
      <c r="E1331" s="2259"/>
      <c r="F1331" s="411"/>
      <c r="G1331" s="2259" t="s">
        <v>1735</v>
      </c>
      <c r="H1331" s="2259"/>
      <c r="I1331" s="1968"/>
    </row>
    <row r="1332" spans="1:12" s="404" customFormat="1">
      <c r="A1332" s="2261"/>
      <c r="B1332" s="2261"/>
      <c r="C1332" s="2261"/>
      <c r="D1332" s="2261"/>
      <c r="E1332" s="2261"/>
      <c r="F1332" s="412"/>
      <c r="G1332" s="2261"/>
      <c r="H1332" s="2261"/>
      <c r="I1332" s="1969"/>
    </row>
    <row r="1334" spans="1:12" ht="23.25" customHeight="1">
      <c r="A1334" s="2491" t="s">
        <v>1679</v>
      </c>
      <c r="B1334" s="2491"/>
      <c r="C1334" s="2491"/>
      <c r="D1334" s="2491"/>
      <c r="E1334" s="2491"/>
      <c r="F1334" s="2491"/>
      <c r="G1334" s="2491"/>
      <c r="H1334" s="2491"/>
      <c r="I1334" s="2491"/>
      <c r="J1334" s="2491"/>
      <c r="K1334" s="2491"/>
      <c r="L1334" s="2491"/>
    </row>
    <row r="1335" spans="1:12">
      <c r="A1335" s="2235" t="s">
        <v>1673</v>
      </c>
      <c r="B1335" s="2236"/>
      <c r="C1335" s="2236"/>
      <c r="D1335" s="2236"/>
      <c r="E1335" s="2236"/>
      <c r="F1335" s="2236"/>
      <c r="G1335" s="2236"/>
      <c r="H1335" s="2236"/>
      <c r="I1335" s="2236"/>
      <c r="J1335" s="2236"/>
      <c r="K1335" s="2237"/>
      <c r="L1335" s="1938">
        <v>330130</v>
      </c>
    </row>
    <row r="1336" spans="1:12">
      <c r="A1336" s="2235" t="s">
        <v>1674</v>
      </c>
      <c r="B1336" s="2236"/>
      <c r="C1336" s="2236"/>
      <c r="D1336" s="2236"/>
      <c r="E1336" s="2236"/>
      <c r="F1336" s="2236"/>
      <c r="G1336" s="2236"/>
      <c r="H1336" s="2236"/>
      <c r="I1336" s="2236"/>
      <c r="J1336" s="2236"/>
      <c r="K1336" s="2237"/>
      <c r="L1336" s="1938">
        <v>1762664</v>
      </c>
    </row>
    <row r="1337" spans="1:12">
      <c r="A1337" s="2235" t="s">
        <v>1675</v>
      </c>
      <c r="B1337" s="2236"/>
      <c r="C1337" s="2236"/>
      <c r="D1337" s="2236"/>
      <c r="E1337" s="2236"/>
      <c r="F1337" s="2236"/>
      <c r="G1337" s="2236"/>
      <c r="H1337" s="2236"/>
      <c r="I1337" s="2236"/>
      <c r="J1337" s="2236"/>
      <c r="K1337" s="2237"/>
      <c r="L1337" s="1938">
        <v>6799655</v>
      </c>
    </row>
    <row r="1338" spans="1:12">
      <c r="A1338" s="2235" t="s">
        <v>1676</v>
      </c>
      <c r="B1338" s="2236"/>
      <c r="C1338" s="2236"/>
      <c r="D1338" s="2236"/>
      <c r="E1338" s="2236"/>
      <c r="F1338" s="2236"/>
      <c r="G1338" s="2236"/>
      <c r="H1338" s="2236"/>
      <c r="I1338" s="2236"/>
      <c r="J1338" s="2236"/>
      <c r="K1338" s="2237"/>
      <c r="L1338" s="1938">
        <v>58085177</v>
      </c>
    </row>
    <row r="1339" spans="1:12">
      <c r="A1339" s="2235" t="s">
        <v>1677</v>
      </c>
      <c r="B1339" s="2236"/>
      <c r="C1339" s="2236"/>
      <c r="D1339" s="2236"/>
      <c r="E1339" s="2236"/>
      <c r="F1339" s="2236"/>
      <c r="G1339" s="2236"/>
      <c r="H1339" s="2236"/>
      <c r="I1339" s="2236"/>
      <c r="J1339" s="2236"/>
      <c r="K1339" s="2237"/>
      <c r="L1339" s="1938">
        <v>351066</v>
      </c>
    </row>
    <row r="1340" spans="1:12">
      <c r="A1340" s="2235" t="s">
        <v>1678</v>
      </c>
      <c r="B1340" s="2236"/>
      <c r="C1340" s="2236"/>
      <c r="D1340" s="2236"/>
      <c r="E1340" s="2236"/>
      <c r="F1340" s="2236"/>
      <c r="G1340" s="2236"/>
      <c r="H1340" s="2236"/>
      <c r="I1340" s="2236"/>
      <c r="J1340" s="2236"/>
      <c r="K1340" s="2237"/>
      <c r="L1340" s="1938">
        <v>14764</v>
      </c>
    </row>
    <row r="1341" spans="1:12">
      <c r="A1341" s="2238"/>
      <c r="B1341" s="2239"/>
      <c r="C1341" s="2239"/>
      <c r="D1341" s="2239"/>
      <c r="E1341" s="2239"/>
      <c r="F1341" s="2239"/>
      <c r="G1341" s="2239"/>
      <c r="H1341" s="2239"/>
      <c r="I1341" s="2239"/>
      <c r="J1341" s="2239"/>
      <c r="K1341" s="2240"/>
      <c r="L1341" s="548"/>
    </row>
    <row r="1342" spans="1:12">
      <c r="A1342" s="2241" t="s">
        <v>168</v>
      </c>
      <c r="B1342" s="2242"/>
      <c r="C1342" s="2242"/>
      <c r="D1342" s="2242"/>
      <c r="E1342" s="2242"/>
      <c r="F1342" s="2242"/>
      <c r="G1342" s="2242"/>
      <c r="H1342" s="2242"/>
      <c r="I1342" s="2242"/>
      <c r="J1342" s="2242"/>
      <c r="K1342" s="2243"/>
      <c r="L1342" s="585">
        <f>SUM(L1335:L1341)</f>
        <v>67343456</v>
      </c>
    </row>
    <row r="1343" spans="1:12">
      <c r="A1343" s="2229" t="s">
        <v>1680</v>
      </c>
      <c r="B1343" s="2230"/>
      <c r="C1343" s="2230"/>
      <c r="D1343" s="2230"/>
      <c r="E1343" s="2230"/>
      <c r="F1343" s="2230"/>
      <c r="G1343" s="2230"/>
      <c r="H1343" s="2230"/>
      <c r="I1343" s="2230"/>
      <c r="J1343" s="2230"/>
      <c r="K1343" s="2231"/>
      <c r="L1343" s="1938">
        <v>671000</v>
      </c>
    </row>
    <row r="1344" spans="1:12">
      <c r="A1344" s="2229" t="s">
        <v>1681</v>
      </c>
      <c r="B1344" s="2230"/>
      <c r="C1344" s="2230"/>
      <c r="D1344" s="2230"/>
      <c r="E1344" s="2230"/>
      <c r="F1344" s="2230"/>
      <c r="G1344" s="2230"/>
      <c r="H1344" s="2230"/>
      <c r="I1344" s="2230"/>
      <c r="J1344" s="2230"/>
      <c r="K1344" s="2231"/>
      <c r="L1344" s="1938">
        <v>32784526</v>
      </c>
    </row>
    <row r="1345" spans="1:12">
      <c r="A1345" s="2229" t="s">
        <v>1682</v>
      </c>
      <c r="B1345" s="2230"/>
      <c r="C1345" s="2230"/>
      <c r="D1345" s="2230"/>
      <c r="E1345" s="2230"/>
      <c r="F1345" s="2230"/>
      <c r="G1345" s="2230"/>
      <c r="H1345" s="2230"/>
      <c r="I1345" s="2230"/>
      <c r="J1345" s="2230"/>
      <c r="K1345" s="2231"/>
      <c r="L1345" s="1938">
        <v>26342683</v>
      </c>
    </row>
    <row r="1346" spans="1:12">
      <c r="A1346" s="2229" t="s">
        <v>1683</v>
      </c>
      <c r="B1346" s="2230"/>
      <c r="C1346" s="2230"/>
      <c r="D1346" s="2230"/>
      <c r="E1346" s="2230"/>
      <c r="F1346" s="2230"/>
      <c r="G1346" s="2230"/>
      <c r="H1346" s="2230"/>
      <c r="I1346" s="2230"/>
      <c r="J1346" s="2230"/>
      <c r="K1346" s="2231"/>
      <c r="L1346" s="1938">
        <v>14829439</v>
      </c>
    </row>
    <row r="1347" spans="1:12">
      <c r="A1347" s="2229" t="s">
        <v>1684</v>
      </c>
      <c r="B1347" s="2230"/>
      <c r="C1347" s="2230"/>
      <c r="D1347" s="2230"/>
      <c r="E1347" s="2230"/>
      <c r="F1347" s="2230"/>
      <c r="G1347" s="2230"/>
      <c r="H1347" s="2230"/>
      <c r="I1347" s="2230"/>
      <c r="J1347" s="2230"/>
      <c r="K1347" s="2231"/>
      <c r="L1347" s="1938">
        <v>72579130</v>
      </c>
    </row>
    <row r="1348" spans="1:12">
      <c r="A1348" s="2229" t="s">
        <v>1685</v>
      </c>
      <c r="B1348" s="2230"/>
      <c r="C1348" s="2230"/>
      <c r="D1348" s="2230"/>
      <c r="E1348" s="2230"/>
      <c r="F1348" s="2230"/>
      <c r="G1348" s="2230"/>
      <c r="H1348" s="2230"/>
      <c r="I1348" s="2230"/>
      <c r="J1348" s="2230"/>
      <c r="K1348" s="2231"/>
      <c r="L1348" s="1938">
        <v>838000</v>
      </c>
    </row>
    <row r="1349" spans="1:12">
      <c r="A1349" s="2229" t="s">
        <v>1686</v>
      </c>
      <c r="B1349" s="2230"/>
      <c r="C1349" s="2230"/>
      <c r="D1349" s="2230"/>
      <c r="E1349" s="2230"/>
      <c r="F1349" s="2230"/>
      <c r="G1349" s="2230"/>
      <c r="H1349" s="2230"/>
      <c r="I1349" s="2230"/>
      <c r="J1349" s="2230"/>
      <c r="K1349" s="2231"/>
      <c r="L1349" s="1938">
        <v>3137325</v>
      </c>
    </row>
    <row r="1350" spans="1:12">
      <c r="A1350" s="2229" t="s">
        <v>1687</v>
      </c>
      <c r="B1350" s="2230"/>
      <c r="C1350" s="2230"/>
      <c r="D1350" s="2230"/>
      <c r="E1350" s="2230"/>
      <c r="F1350" s="2230"/>
      <c r="G1350" s="2230"/>
      <c r="H1350" s="2230"/>
      <c r="I1350" s="2230"/>
      <c r="J1350" s="2230"/>
      <c r="K1350" s="2231"/>
      <c r="L1350" s="1938">
        <v>17878203</v>
      </c>
    </row>
    <row r="1351" spans="1:12">
      <c r="A1351" s="2229" t="s">
        <v>1688</v>
      </c>
      <c r="B1351" s="2230"/>
      <c r="C1351" s="2230"/>
      <c r="D1351" s="2230"/>
      <c r="E1351" s="2230"/>
      <c r="F1351" s="2230"/>
      <c r="G1351" s="2230"/>
      <c r="H1351" s="2230"/>
      <c r="I1351" s="2230"/>
      <c r="J1351" s="2230"/>
      <c r="K1351" s="2231"/>
      <c r="L1351" s="1938">
        <v>217104709</v>
      </c>
    </row>
    <row r="1352" spans="1:12">
      <c r="A1352" s="2229" t="s">
        <v>1689</v>
      </c>
      <c r="B1352" s="2230"/>
      <c r="C1352" s="2230"/>
      <c r="D1352" s="2230"/>
      <c r="E1352" s="2230"/>
      <c r="F1352" s="2230"/>
      <c r="G1352" s="2230"/>
      <c r="H1352" s="2230"/>
      <c r="I1352" s="2230"/>
      <c r="J1352" s="2230"/>
      <c r="K1352" s="2231"/>
      <c r="L1352" s="1938">
        <v>33784389</v>
      </c>
    </row>
    <row r="1353" spans="1:12">
      <c r="A1353" s="2229" t="s">
        <v>1690</v>
      </c>
      <c r="B1353" s="2230"/>
      <c r="C1353" s="2230"/>
      <c r="D1353" s="2230"/>
      <c r="E1353" s="2230"/>
      <c r="F1353" s="2230"/>
      <c r="G1353" s="2230"/>
      <c r="H1353" s="2230"/>
      <c r="I1353" s="2230"/>
      <c r="J1353" s="2230"/>
      <c r="K1353" s="2231"/>
      <c r="L1353" s="1938">
        <v>16883201</v>
      </c>
    </row>
    <row r="1354" spans="1:12">
      <c r="A1354" s="2229" t="s">
        <v>1691</v>
      </c>
      <c r="B1354" s="2230"/>
      <c r="C1354" s="2230"/>
      <c r="D1354" s="2230"/>
      <c r="E1354" s="2230"/>
      <c r="F1354" s="2230"/>
      <c r="G1354" s="2230"/>
      <c r="H1354" s="2230"/>
      <c r="I1354" s="2230"/>
      <c r="J1354" s="2230"/>
      <c r="K1354" s="2231"/>
      <c r="L1354" s="1938">
        <v>21350465</v>
      </c>
    </row>
    <row r="1355" spans="1:12">
      <c r="A1355" s="2229" t="s">
        <v>1692</v>
      </c>
      <c r="B1355" s="2230"/>
      <c r="C1355" s="2230"/>
      <c r="D1355" s="2230"/>
      <c r="E1355" s="2230"/>
      <c r="F1355" s="2230"/>
      <c r="G1355" s="2230"/>
      <c r="H1355" s="2230"/>
      <c r="I1355" s="2230"/>
      <c r="J1355" s="2230"/>
      <c r="K1355" s="2231"/>
      <c r="L1355" s="1938">
        <v>0</v>
      </c>
    </row>
    <row r="1356" spans="1:12">
      <c r="A1356" s="2229" t="s">
        <v>1727</v>
      </c>
      <c r="B1356" s="2230"/>
      <c r="C1356" s="2230"/>
      <c r="D1356" s="2230"/>
      <c r="E1356" s="2230"/>
      <c r="F1356" s="2230"/>
      <c r="G1356" s="2230"/>
      <c r="H1356" s="2230"/>
      <c r="I1356" s="2230"/>
      <c r="J1356" s="2230"/>
      <c r="K1356" s="2231"/>
      <c r="L1356" s="1938">
        <v>13569000</v>
      </c>
    </row>
    <row r="1357" spans="1:12">
      <c r="A1357" s="2331"/>
      <c r="B1357" s="2332"/>
      <c r="C1357" s="2332"/>
      <c r="D1357" s="2332"/>
      <c r="E1357" s="2332"/>
      <c r="F1357" s="2332"/>
      <c r="G1357" s="2332"/>
      <c r="H1357" s="2332"/>
      <c r="I1357" s="2332"/>
      <c r="J1357" s="2332"/>
      <c r="K1357" s="2332"/>
      <c r="L1357" s="2333"/>
    </row>
    <row r="1358" spans="1:12">
      <c r="A1358" s="2241" t="s">
        <v>168</v>
      </c>
      <c r="B1358" s="2242"/>
      <c r="C1358" s="2242"/>
      <c r="D1358" s="2242"/>
      <c r="E1358" s="2242"/>
      <c r="F1358" s="2242"/>
      <c r="G1358" s="2242"/>
      <c r="H1358" s="2242"/>
      <c r="I1358" s="2242"/>
      <c r="J1358" s="2242"/>
      <c r="K1358" s="2243"/>
      <c r="L1358" s="585">
        <f>SUM(L1343:L1356)</f>
        <v>471752070</v>
      </c>
    </row>
    <row r="1359" spans="1:12">
      <c r="A1359" s="1925"/>
      <c r="B1359" s="1925"/>
      <c r="C1359" s="1925"/>
      <c r="D1359" s="1925"/>
      <c r="E1359" s="1925"/>
      <c r="F1359" s="1925"/>
      <c r="G1359" s="1925"/>
      <c r="H1359" s="1925"/>
      <c r="I1359" s="1925"/>
      <c r="J1359" s="1925"/>
      <c r="K1359" s="1925"/>
      <c r="L1359" s="1955"/>
    </row>
    <row r="1360" spans="1:12">
      <c r="A1360" s="2235" t="s">
        <v>1693</v>
      </c>
      <c r="B1360" s="2236"/>
      <c r="C1360" s="2236"/>
      <c r="D1360" s="2236"/>
      <c r="E1360" s="2236"/>
      <c r="F1360" s="2236"/>
      <c r="G1360" s="2236"/>
      <c r="H1360" s="2236"/>
      <c r="I1360" s="2236"/>
      <c r="J1360" s="2236"/>
      <c r="K1360" s="2237"/>
      <c r="L1360" s="1937">
        <v>0</v>
      </c>
    </row>
  </sheetData>
  <autoFilter ref="C1:C1355"/>
  <mergeCells count="1377">
    <mergeCell ref="A1352:K1352"/>
    <mergeCell ref="A1354:K1354"/>
    <mergeCell ref="A1356:K1356"/>
    <mergeCell ref="A1357:L1357"/>
    <mergeCell ref="A1358:K1358"/>
    <mergeCell ref="A1360:K1360"/>
    <mergeCell ref="B1312:F1312"/>
    <mergeCell ref="C1313:F1313"/>
    <mergeCell ref="A1314:H1315"/>
    <mergeCell ref="A1316:B1318"/>
    <mergeCell ref="C1316:G1316"/>
    <mergeCell ref="C1317:G1317"/>
    <mergeCell ref="C1318:G1318"/>
    <mergeCell ref="A1320:F1320"/>
    <mergeCell ref="C1323:F1323"/>
    <mergeCell ref="C1325:F1325"/>
    <mergeCell ref="C1326:F1326"/>
    <mergeCell ref="C1327:F1327"/>
    <mergeCell ref="C1329:F1329"/>
    <mergeCell ref="A1331:A1332"/>
    <mergeCell ref="B1331:E1332"/>
    <mergeCell ref="G1331:H1332"/>
    <mergeCell ref="A1334:L1334"/>
    <mergeCell ref="A1338:K1338"/>
    <mergeCell ref="A1336:K1336"/>
    <mergeCell ref="A1337:K1337"/>
    <mergeCell ref="A1339:K1339"/>
    <mergeCell ref="A1340:K1340"/>
    <mergeCell ref="A1293:A1294"/>
    <mergeCell ref="B1293:E1294"/>
    <mergeCell ref="F1293:F1294"/>
    <mergeCell ref="G1293:H1294"/>
    <mergeCell ref="A1295:B1297"/>
    <mergeCell ref="C1295:H1295"/>
    <mergeCell ref="C1297:G1297"/>
    <mergeCell ref="A1299:F1299"/>
    <mergeCell ref="A1301:F1301"/>
    <mergeCell ref="A1303:A1304"/>
    <mergeCell ref="B1303:E1304"/>
    <mergeCell ref="F1303:F1304"/>
    <mergeCell ref="G1303:H1304"/>
    <mergeCell ref="A1305:F1305"/>
    <mergeCell ref="B1308:F1308"/>
    <mergeCell ref="B1310:F1310"/>
    <mergeCell ref="C1311:F1311"/>
    <mergeCell ref="A1274:F1274"/>
    <mergeCell ref="A1277:A1278"/>
    <mergeCell ref="B1277:E1278"/>
    <mergeCell ref="F1277:F1278"/>
    <mergeCell ref="G1277:H1278"/>
    <mergeCell ref="A1279:H1280"/>
    <mergeCell ref="A1283:B1285"/>
    <mergeCell ref="C1284:F1284"/>
    <mergeCell ref="G1284:H1284"/>
    <mergeCell ref="C1285:F1285"/>
    <mergeCell ref="G1285:H1285"/>
    <mergeCell ref="A1286:A1287"/>
    <mergeCell ref="B1286:E1287"/>
    <mergeCell ref="F1286:F1287"/>
    <mergeCell ref="G1286:H1287"/>
    <mergeCell ref="A1288:B1292"/>
    <mergeCell ref="C1288:H1288"/>
    <mergeCell ref="C1283:H1283"/>
    <mergeCell ref="C1292:G1292"/>
    <mergeCell ref="A1257:F1257"/>
    <mergeCell ref="A1258:H1259"/>
    <mergeCell ref="A1260:A1261"/>
    <mergeCell ref="B1260:E1261"/>
    <mergeCell ref="F1260:F1261"/>
    <mergeCell ref="G1260:H1261"/>
    <mergeCell ref="A1262:B1267"/>
    <mergeCell ref="C1262:H1262"/>
    <mergeCell ref="C1263:G1263"/>
    <mergeCell ref="C1264:G1264"/>
    <mergeCell ref="C1265:G1265"/>
    <mergeCell ref="C1267:G1267"/>
    <mergeCell ref="A1268:A1269"/>
    <mergeCell ref="B1268:E1269"/>
    <mergeCell ref="F1268:F1269"/>
    <mergeCell ref="G1268:H1269"/>
    <mergeCell ref="A1270:B1272"/>
    <mergeCell ref="C1270:H1270"/>
    <mergeCell ref="C1271:G1271"/>
    <mergeCell ref="C1266:G1266"/>
    <mergeCell ref="A1236:A1237"/>
    <mergeCell ref="B1236:E1237"/>
    <mergeCell ref="F1236:F1237"/>
    <mergeCell ref="G1236:H1237"/>
    <mergeCell ref="A1238:B1243"/>
    <mergeCell ref="C1238:H1238"/>
    <mergeCell ref="C1239:G1239"/>
    <mergeCell ref="C1240:G1240"/>
    <mergeCell ref="C1241:G1241"/>
    <mergeCell ref="C1242:G1242"/>
    <mergeCell ref="C1243:F1243"/>
    <mergeCell ref="A1244:A1245"/>
    <mergeCell ref="B1244:E1245"/>
    <mergeCell ref="F1244:F1245"/>
    <mergeCell ref="G1244:H1245"/>
    <mergeCell ref="A1246:B1254"/>
    <mergeCell ref="C1246:H1246"/>
    <mergeCell ref="C1249:E1249"/>
    <mergeCell ref="C1250:E1250"/>
    <mergeCell ref="C1251:E1251"/>
    <mergeCell ref="C1252:E1252"/>
    <mergeCell ref="C1253:E1253"/>
    <mergeCell ref="C1254:F1254"/>
    <mergeCell ref="A928:A929"/>
    <mergeCell ref="B928:E929"/>
    <mergeCell ref="F928:F929"/>
    <mergeCell ref="G928:H929"/>
    <mergeCell ref="A930:B1235"/>
    <mergeCell ref="C930:H930"/>
    <mergeCell ref="C1230:E1230"/>
    <mergeCell ref="C1231:E1231"/>
    <mergeCell ref="C1232:E1232"/>
    <mergeCell ref="C1233:E1233"/>
    <mergeCell ref="C1234:E1234"/>
    <mergeCell ref="C1235:F1235"/>
    <mergeCell ref="C764:E764"/>
    <mergeCell ref="C796:E796"/>
    <mergeCell ref="C797:E797"/>
    <mergeCell ref="C798:E798"/>
    <mergeCell ref="C771:E771"/>
    <mergeCell ref="C781:E781"/>
    <mergeCell ref="C782:E782"/>
    <mergeCell ref="C783:E783"/>
    <mergeCell ref="C784:E784"/>
    <mergeCell ref="C785:E785"/>
    <mergeCell ref="C786:E786"/>
    <mergeCell ref="C823:E823"/>
    <mergeCell ref="C824:E824"/>
    <mergeCell ref="C736:H736"/>
    <mergeCell ref="C738:G738"/>
    <mergeCell ref="C739:G739"/>
    <mergeCell ref="C740:G740"/>
    <mergeCell ref="C741:G741"/>
    <mergeCell ref="C742:G742"/>
    <mergeCell ref="A743:H744"/>
    <mergeCell ref="A745:F745"/>
    <mergeCell ref="A746:H747"/>
    <mergeCell ref="A748:A749"/>
    <mergeCell ref="B748:E749"/>
    <mergeCell ref="F748:F749"/>
    <mergeCell ref="G748:H749"/>
    <mergeCell ref="A750:B927"/>
    <mergeCell ref="C750:H750"/>
    <mergeCell ref="C922:E922"/>
    <mergeCell ref="C923:E923"/>
    <mergeCell ref="C924:E924"/>
    <mergeCell ref="C925:E925"/>
    <mergeCell ref="C927:F927"/>
    <mergeCell ref="C325:H325"/>
    <mergeCell ref="A691:A692"/>
    <mergeCell ref="B691:E692"/>
    <mergeCell ref="G691:H692"/>
    <mergeCell ref="C464:H464"/>
    <mergeCell ref="A462:A463"/>
    <mergeCell ref="B462:E463"/>
    <mergeCell ref="A1281:A1282"/>
    <mergeCell ref="B1281:E1282"/>
    <mergeCell ref="G312:H313"/>
    <mergeCell ref="C232:F232"/>
    <mergeCell ref="C268:F268"/>
    <mergeCell ref="C356:E356"/>
    <mergeCell ref="C357:E357"/>
    <mergeCell ref="C358:E358"/>
    <mergeCell ref="C359:E359"/>
    <mergeCell ref="F462:F463"/>
    <mergeCell ref="A411:A412"/>
    <mergeCell ref="B411:E412"/>
    <mergeCell ref="F411:F412"/>
    <mergeCell ref="C276:E276"/>
    <mergeCell ref="C279:E279"/>
    <mergeCell ref="C298:E298"/>
    <mergeCell ref="C299:E299"/>
    <mergeCell ref="C308:E308"/>
    <mergeCell ref="A269:A270"/>
    <mergeCell ref="F269:F270"/>
    <mergeCell ref="G269:H270"/>
    <mergeCell ref="F233:F234"/>
    <mergeCell ref="C238:E238"/>
    <mergeCell ref="C239:E239"/>
    <mergeCell ref="C240:E240"/>
    <mergeCell ref="F131:F132"/>
    <mergeCell ref="A176:A177"/>
    <mergeCell ref="A117:L117"/>
    <mergeCell ref="A122:K122"/>
    <mergeCell ref="C216:E216"/>
    <mergeCell ref="A233:A234"/>
    <mergeCell ref="B233:E234"/>
    <mergeCell ref="C410:G410"/>
    <mergeCell ref="C461:G461"/>
    <mergeCell ref="C690:G690"/>
    <mergeCell ref="C728:G728"/>
    <mergeCell ref="C737:G737"/>
    <mergeCell ref="C321:G321"/>
    <mergeCell ref="C307:G307"/>
    <mergeCell ref="C306:G306"/>
    <mergeCell ref="C300:G300"/>
    <mergeCell ref="C350:E350"/>
    <mergeCell ref="C351:E351"/>
    <mergeCell ref="C352:E352"/>
    <mergeCell ref="C353:E353"/>
    <mergeCell ref="C354:E354"/>
    <mergeCell ref="C355:E355"/>
    <mergeCell ref="G233:H234"/>
    <mergeCell ref="C305:G305"/>
    <mergeCell ref="C271:H271"/>
    <mergeCell ref="F308:G308"/>
    <mergeCell ref="A310:F310"/>
    <mergeCell ref="A312:A313"/>
    <mergeCell ref="B312:E313"/>
    <mergeCell ref="G462:H463"/>
    <mergeCell ref="C319:F319"/>
    <mergeCell ref="C320:F320"/>
    <mergeCell ref="C66:G66"/>
    <mergeCell ref="B63:G63"/>
    <mergeCell ref="B67:G67"/>
    <mergeCell ref="A70:F70"/>
    <mergeCell ref="A72:G72"/>
    <mergeCell ref="F56:F57"/>
    <mergeCell ref="A58:H58"/>
    <mergeCell ref="F178:F179"/>
    <mergeCell ref="A96:A97"/>
    <mergeCell ref="B96:E97"/>
    <mergeCell ref="F102:G102"/>
    <mergeCell ref="A104:F104"/>
    <mergeCell ref="A106:F106"/>
    <mergeCell ref="A131:A132"/>
    <mergeCell ref="B131:E132"/>
    <mergeCell ref="G131:H132"/>
    <mergeCell ref="G96:H97"/>
    <mergeCell ref="B100:F100"/>
    <mergeCell ref="A111:K111"/>
    <mergeCell ref="A112:K112"/>
    <mergeCell ref="A178:A179"/>
    <mergeCell ref="B178:E179"/>
    <mergeCell ref="G178:H179"/>
    <mergeCell ref="A129:A130"/>
    <mergeCell ref="C136:G136"/>
    <mergeCell ref="C141:G141"/>
    <mergeCell ref="C142:G142"/>
    <mergeCell ref="C143:E143"/>
    <mergeCell ref="A113:K113"/>
    <mergeCell ref="A114:K114"/>
    <mergeCell ref="A100:A101"/>
    <mergeCell ref="C101:G101"/>
    <mergeCell ref="A8:A9"/>
    <mergeCell ref="B8:E9"/>
    <mergeCell ref="G8:H9"/>
    <mergeCell ref="A3:A4"/>
    <mergeCell ref="B3:H4"/>
    <mergeCell ref="C20:D20"/>
    <mergeCell ref="C11:F11"/>
    <mergeCell ref="B10:F10"/>
    <mergeCell ref="B14:F14"/>
    <mergeCell ref="C15:F15"/>
    <mergeCell ref="C17:F17"/>
    <mergeCell ref="A81:K81"/>
    <mergeCell ref="F8:F9"/>
    <mergeCell ref="A5:H7"/>
    <mergeCell ref="C13:F13"/>
    <mergeCell ref="C16:F16"/>
    <mergeCell ref="C18:F18"/>
    <mergeCell ref="C19:G19"/>
    <mergeCell ref="C12:G12"/>
    <mergeCell ref="A28:L28"/>
    <mergeCell ref="A33:K33"/>
    <mergeCell ref="A32:L32"/>
    <mergeCell ref="A40:L40"/>
    <mergeCell ref="A41:K41"/>
    <mergeCell ref="A46:L46"/>
    <mergeCell ref="A47:K47"/>
    <mergeCell ref="A48:L49"/>
    <mergeCell ref="A54:A55"/>
    <mergeCell ref="B54:H55"/>
    <mergeCell ref="B62:D62"/>
    <mergeCell ref="C68:E68"/>
    <mergeCell ref="C60:G60"/>
    <mergeCell ref="A78:K78"/>
    <mergeCell ref="A79:K79"/>
    <mergeCell ref="A80:K80"/>
    <mergeCell ref="A77:K77"/>
    <mergeCell ref="A126:K126"/>
    <mergeCell ref="A118:K118"/>
    <mergeCell ref="A119:K119"/>
    <mergeCell ref="A120:K120"/>
    <mergeCell ref="A121:K121"/>
    <mergeCell ref="C248:E248"/>
    <mergeCell ref="G411:H412"/>
    <mergeCell ref="A323:A324"/>
    <mergeCell ref="B323:E324"/>
    <mergeCell ref="F323:F324"/>
    <mergeCell ref="G323:H324"/>
    <mergeCell ref="A317:A318"/>
    <mergeCell ref="B317:E318"/>
    <mergeCell ref="F317:F318"/>
    <mergeCell ref="G317:H318"/>
    <mergeCell ref="C348:E348"/>
    <mergeCell ref="C349:E349"/>
    <mergeCell ref="C273:E273"/>
    <mergeCell ref="C274:E274"/>
    <mergeCell ref="C264:E264"/>
    <mergeCell ref="C265:E265"/>
    <mergeCell ref="A109:L109"/>
    <mergeCell ref="A110:L110"/>
    <mergeCell ref="F96:F97"/>
    <mergeCell ref="C360:E360"/>
    <mergeCell ref="C361:E361"/>
    <mergeCell ref="C362:E362"/>
    <mergeCell ref="C195:E195"/>
    <mergeCell ref="C200:E200"/>
    <mergeCell ref="C201:E201"/>
    <mergeCell ref="C202:E202"/>
    <mergeCell ref="C203:E203"/>
    <mergeCell ref="C204:E204"/>
    <mergeCell ref="C225:E225"/>
    <mergeCell ref="C226:E226"/>
    <mergeCell ref="C227:E227"/>
    <mergeCell ref="C228:E228"/>
    <mergeCell ref="C229:E229"/>
    <mergeCell ref="C230:E230"/>
    <mergeCell ref="C231:E231"/>
    <mergeCell ref="C275:E275"/>
    <mergeCell ref="C247:E247"/>
    <mergeCell ref="C267:E267"/>
    <mergeCell ref="C261:E261"/>
    <mergeCell ref="C262:E262"/>
    <mergeCell ref="C263:E263"/>
    <mergeCell ref="C266:E266"/>
    <mergeCell ref="C272:E272"/>
    <mergeCell ref="C258:E258"/>
    <mergeCell ref="C259:E259"/>
    <mergeCell ref="C260:E260"/>
    <mergeCell ref="B269:E270"/>
    <mergeCell ref="A235:B268"/>
    <mergeCell ref="C235:H235"/>
    <mergeCell ref="C236:E236"/>
    <mergeCell ref="C237:E237"/>
    <mergeCell ref="C241:E241"/>
    <mergeCell ref="C242:E242"/>
    <mergeCell ref="C243:E243"/>
    <mergeCell ref="C244:E244"/>
    <mergeCell ref="C245:E245"/>
    <mergeCell ref="C246:E246"/>
    <mergeCell ref="C253:E253"/>
    <mergeCell ref="C254:E254"/>
    <mergeCell ref="C255:E255"/>
    <mergeCell ref="C256:E256"/>
    <mergeCell ref="C257:E257"/>
    <mergeCell ref="A272:B300"/>
    <mergeCell ref="A301:H302"/>
    <mergeCell ref="C1247:E1247"/>
    <mergeCell ref="C1248:E1248"/>
    <mergeCell ref="F1281:F1282"/>
    <mergeCell ref="G1281:H1282"/>
    <mergeCell ref="C249:E249"/>
    <mergeCell ref="C250:E250"/>
    <mergeCell ref="C251:E251"/>
    <mergeCell ref="C252:E252"/>
    <mergeCell ref="A325:B410"/>
    <mergeCell ref="C326:E326"/>
    <mergeCell ref="C327:E327"/>
    <mergeCell ref="C328:E328"/>
    <mergeCell ref="C329:E329"/>
    <mergeCell ref="C330:E330"/>
    <mergeCell ref="C331:E331"/>
    <mergeCell ref="C332:E332"/>
    <mergeCell ref="C333:E333"/>
    <mergeCell ref="C334:E334"/>
    <mergeCell ref="C335:E335"/>
    <mergeCell ref="A75:L75"/>
    <mergeCell ref="A82:K82"/>
    <mergeCell ref="A89:K90"/>
    <mergeCell ref="A83:K83"/>
    <mergeCell ref="A88:K88"/>
    <mergeCell ref="A76:L76"/>
    <mergeCell ref="B29:L29"/>
    <mergeCell ref="B95:H95"/>
    <mergeCell ref="A98:H99"/>
    <mergeCell ref="B61:G61"/>
    <mergeCell ref="B59:G59"/>
    <mergeCell ref="C205:E205"/>
    <mergeCell ref="F207:F208"/>
    <mergeCell ref="A151:L151"/>
    <mergeCell ref="A152:L152"/>
    <mergeCell ref="A153:K153"/>
    <mergeCell ref="A155:K155"/>
    <mergeCell ref="A156:K156"/>
    <mergeCell ref="A157:K157"/>
    <mergeCell ref="A158:K158"/>
    <mergeCell ref="A154:K154"/>
    <mergeCell ref="A123:L124"/>
    <mergeCell ref="B129:H130"/>
    <mergeCell ref="A133:H134"/>
    <mergeCell ref="C144:G144"/>
    <mergeCell ref="A135:A144"/>
    <mergeCell ref="B135:G135"/>
    <mergeCell ref="B140:G140"/>
    <mergeCell ref="C137:G137"/>
    <mergeCell ref="A125:K125"/>
    <mergeCell ref="B176:I177"/>
    <mergeCell ref="A180:H181"/>
    <mergeCell ref="A10:A19"/>
    <mergeCell ref="A22:F22"/>
    <mergeCell ref="A24:F24"/>
    <mergeCell ref="A56:A57"/>
    <mergeCell ref="B56:E57"/>
    <mergeCell ref="A34:K34"/>
    <mergeCell ref="A35:K35"/>
    <mergeCell ref="A36:K36"/>
    <mergeCell ref="A42:K42"/>
    <mergeCell ref="A43:K43"/>
    <mergeCell ref="A44:K44"/>
    <mergeCell ref="A50:K50"/>
    <mergeCell ref="A31:K31"/>
    <mergeCell ref="A37:K37"/>
    <mergeCell ref="A39:K39"/>
    <mergeCell ref="A115:L115"/>
    <mergeCell ref="A116:K116"/>
    <mergeCell ref="A45:K45"/>
    <mergeCell ref="A51:K51"/>
    <mergeCell ref="G56:H57"/>
    <mergeCell ref="A30:K30"/>
    <mergeCell ref="A38:K38"/>
    <mergeCell ref="A84:K84"/>
    <mergeCell ref="A85:K85"/>
    <mergeCell ref="A86:K86"/>
    <mergeCell ref="A91:K91"/>
    <mergeCell ref="A92:K92"/>
    <mergeCell ref="A87:K87"/>
    <mergeCell ref="A59:A61"/>
    <mergeCell ref="A63:A67"/>
    <mergeCell ref="C64:G64"/>
    <mergeCell ref="C65:G65"/>
    <mergeCell ref="A166:K166"/>
    <mergeCell ref="A167:K167"/>
    <mergeCell ref="A168:L168"/>
    <mergeCell ref="A169:K169"/>
    <mergeCell ref="A170:L171"/>
    <mergeCell ref="A172:K172"/>
    <mergeCell ref="A173:K173"/>
    <mergeCell ref="A159:L159"/>
    <mergeCell ref="A160:K160"/>
    <mergeCell ref="A161:K161"/>
    <mergeCell ref="A162:K162"/>
    <mergeCell ref="A164:K164"/>
    <mergeCell ref="A163:K163"/>
    <mergeCell ref="A165:K165"/>
    <mergeCell ref="A184:A185"/>
    <mergeCell ref="B184:E185"/>
    <mergeCell ref="F184:F185"/>
    <mergeCell ref="G184:H185"/>
    <mergeCell ref="C210:E210"/>
    <mergeCell ref="C211:E211"/>
    <mergeCell ref="C212:E212"/>
    <mergeCell ref="C213:E213"/>
    <mergeCell ref="C214:E214"/>
    <mergeCell ref="C215:E215"/>
    <mergeCell ref="C217:E217"/>
    <mergeCell ref="C218:E218"/>
    <mergeCell ref="C219:E219"/>
    <mergeCell ref="C220:E220"/>
    <mergeCell ref="C221:E221"/>
    <mergeCell ref="C222:E222"/>
    <mergeCell ref="C223:E223"/>
    <mergeCell ref="C224:E224"/>
    <mergeCell ref="A207:A208"/>
    <mergeCell ref="B207:E208"/>
    <mergeCell ref="A182:H183"/>
    <mergeCell ref="A186:B206"/>
    <mergeCell ref="C186:H186"/>
    <mergeCell ref="C187:E187"/>
    <mergeCell ref="C206:G206"/>
    <mergeCell ref="C188:E188"/>
    <mergeCell ref="C189:E189"/>
    <mergeCell ref="C190:E190"/>
    <mergeCell ref="C191:E191"/>
    <mergeCell ref="C192:E192"/>
    <mergeCell ref="C193:E193"/>
    <mergeCell ref="C194:E194"/>
    <mergeCell ref="C196:E196"/>
    <mergeCell ref="C197:E197"/>
    <mergeCell ref="C198:E198"/>
    <mergeCell ref="C199:E199"/>
    <mergeCell ref="G207:H208"/>
    <mergeCell ref="C209:H209"/>
    <mergeCell ref="A305:B307"/>
    <mergeCell ref="A314:H315"/>
    <mergeCell ref="A319:B321"/>
    <mergeCell ref="A316:H316"/>
    <mergeCell ref="A322:H322"/>
    <mergeCell ref="C289:E289"/>
    <mergeCell ref="C290:E290"/>
    <mergeCell ref="C291:E291"/>
    <mergeCell ref="C292:E292"/>
    <mergeCell ref="C293:E293"/>
    <mergeCell ref="C294:E294"/>
    <mergeCell ref="C295:E295"/>
    <mergeCell ref="C296:E296"/>
    <mergeCell ref="C297:E297"/>
    <mergeCell ref="C280:E280"/>
    <mergeCell ref="C281:E281"/>
    <mergeCell ref="C282:E282"/>
    <mergeCell ref="C283:E283"/>
    <mergeCell ref="C284:E284"/>
    <mergeCell ref="C285:E285"/>
    <mergeCell ref="C286:E286"/>
    <mergeCell ref="C287:E287"/>
    <mergeCell ref="C288:E288"/>
    <mergeCell ref="A303:A304"/>
    <mergeCell ref="B303:E304"/>
    <mergeCell ref="F303:F304"/>
    <mergeCell ref="G303:H304"/>
    <mergeCell ref="C277:E277"/>
    <mergeCell ref="C278:E278"/>
    <mergeCell ref="A209:B232"/>
    <mergeCell ref="C336:E336"/>
    <mergeCell ref="C337:E337"/>
    <mergeCell ref="C338:E338"/>
    <mergeCell ref="C339:E339"/>
    <mergeCell ref="C340:E340"/>
    <mergeCell ref="C341:E341"/>
    <mergeCell ref="C342:E342"/>
    <mergeCell ref="C343:E343"/>
    <mergeCell ref="C344:E344"/>
    <mergeCell ref="C345:E345"/>
    <mergeCell ref="C346:E346"/>
    <mergeCell ref="C347:E347"/>
    <mergeCell ref="C372:E372"/>
    <mergeCell ref="C373:E373"/>
    <mergeCell ref="C374:E374"/>
    <mergeCell ref="C375:E375"/>
    <mergeCell ref="C376:E376"/>
    <mergeCell ref="C377:E377"/>
    <mergeCell ref="C378:E378"/>
    <mergeCell ref="C379:E379"/>
    <mergeCell ref="C380:E380"/>
    <mergeCell ref="C363:E363"/>
    <mergeCell ref="C364:E364"/>
    <mergeCell ref="C365:E365"/>
    <mergeCell ref="C366:E366"/>
    <mergeCell ref="C367:E367"/>
    <mergeCell ref="C368:E368"/>
    <mergeCell ref="C369:E369"/>
    <mergeCell ref="C370:E370"/>
    <mergeCell ref="C371:E371"/>
    <mergeCell ref="C390:E390"/>
    <mergeCell ref="C391:E391"/>
    <mergeCell ref="C392:E392"/>
    <mergeCell ref="C393:E393"/>
    <mergeCell ref="C394:E394"/>
    <mergeCell ref="C395:E395"/>
    <mergeCell ref="C396:E396"/>
    <mergeCell ref="C397:E397"/>
    <mergeCell ref="C398:E398"/>
    <mergeCell ref="C381:E381"/>
    <mergeCell ref="C382:E382"/>
    <mergeCell ref="C383:E383"/>
    <mergeCell ref="C384:E384"/>
    <mergeCell ref="C385:E385"/>
    <mergeCell ref="C386:E386"/>
    <mergeCell ref="C387:E387"/>
    <mergeCell ref="C388:E388"/>
    <mergeCell ref="C389:E389"/>
    <mergeCell ref="C408:E408"/>
    <mergeCell ref="C409:E409"/>
    <mergeCell ref="C414:E414"/>
    <mergeCell ref="C415:E415"/>
    <mergeCell ref="C416:E416"/>
    <mergeCell ref="C417:E417"/>
    <mergeCell ref="C418:E418"/>
    <mergeCell ref="C413:H413"/>
    <mergeCell ref="C419:E419"/>
    <mergeCell ref="C420:E420"/>
    <mergeCell ref="C399:E399"/>
    <mergeCell ref="C400:E400"/>
    <mergeCell ref="C401:E401"/>
    <mergeCell ref="C402:E402"/>
    <mergeCell ref="C403:E403"/>
    <mergeCell ref="C404:E404"/>
    <mergeCell ref="C405:E405"/>
    <mergeCell ref="C406:E406"/>
    <mergeCell ref="C407:E407"/>
    <mergeCell ref="C430:E430"/>
    <mergeCell ref="C431:E431"/>
    <mergeCell ref="C432:E432"/>
    <mergeCell ref="C433:E433"/>
    <mergeCell ref="C434:E434"/>
    <mergeCell ref="C435:E435"/>
    <mergeCell ref="C436:E436"/>
    <mergeCell ref="C437:E437"/>
    <mergeCell ref="C438:E438"/>
    <mergeCell ref="C421:E421"/>
    <mergeCell ref="C422:E422"/>
    <mergeCell ref="C423:E423"/>
    <mergeCell ref="C424:E424"/>
    <mergeCell ref="C425:E425"/>
    <mergeCell ref="C426:E426"/>
    <mergeCell ref="C427:E427"/>
    <mergeCell ref="C428:E428"/>
    <mergeCell ref="C429:E429"/>
    <mergeCell ref="C448:E448"/>
    <mergeCell ref="C449:E449"/>
    <mergeCell ref="C450:E450"/>
    <mergeCell ref="C451:E451"/>
    <mergeCell ref="C452:E452"/>
    <mergeCell ref="C453:E453"/>
    <mergeCell ref="C454:E454"/>
    <mergeCell ref="C455:E455"/>
    <mergeCell ref="C456:E456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C447:E447"/>
    <mergeCell ref="C457:E457"/>
    <mergeCell ref="C458:E458"/>
    <mergeCell ref="C459:E459"/>
    <mergeCell ref="C460:E460"/>
    <mergeCell ref="C478:E478"/>
    <mergeCell ref="C479:E479"/>
    <mergeCell ref="C480:E480"/>
    <mergeCell ref="C481:E481"/>
    <mergeCell ref="C482:E482"/>
    <mergeCell ref="C483:E483"/>
    <mergeCell ref="C511:E511"/>
    <mergeCell ref="C510:E510"/>
    <mergeCell ref="C512:E512"/>
    <mergeCell ref="C513:E513"/>
    <mergeCell ref="C514:E514"/>
    <mergeCell ref="C515:E515"/>
    <mergeCell ref="C516:E516"/>
    <mergeCell ref="C517:E517"/>
    <mergeCell ref="C468:E468"/>
    <mergeCell ref="C469:E469"/>
    <mergeCell ref="C470:E470"/>
    <mergeCell ref="C471:E471"/>
    <mergeCell ref="C472:E472"/>
    <mergeCell ref="C473:E473"/>
    <mergeCell ref="C474:E474"/>
    <mergeCell ref="C475:E475"/>
    <mergeCell ref="C476:E476"/>
    <mergeCell ref="C477:E477"/>
    <mergeCell ref="C518:E518"/>
    <mergeCell ref="C501:E501"/>
    <mergeCell ref="C502:E502"/>
    <mergeCell ref="C503:E503"/>
    <mergeCell ref="C504:E504"/>
    <mergeCell ref="C505:E505"/>
    <mergeCell ref="C506:E506"/>
    <mergeCell ref="C507:E507"/>
    <mergeCell ref="C508:E508"/>
    <mergeCell ref="C509:E509"/>
    <mergeCell ref="A413:B461"/>
    <mergeCell ref="C493:E493"/>
    <mergeCell ref="C494:E494"/>
    <mergeCell ref="C495:E495"/>
    <mergeCell ref="C496:E496"/>
    <mergeCell ref="C497:E497"/>
    <mergeCell ref="C498:E498"/>
    <mergeCell ref="C499:E499"/>
    <mergeCell ref="C500:E500"/>
    <mergeCell ref="C484:E484"/>
    <mergeCell ref="C485:E485"/>
    <mergeCell ref="C486:E486"/>
    <mergeCell ref="C487:E487"/>
    <mergeCell ref="C488:E488"/>
    <mergeCell ref="C489:E489"/>
    <mergeCell ref="C490:E490"/>
    <mergeCell ref="C491:E491"/>
    <mergeCell ref="C492:E492"/>
    <mergeCell ref="A464:B690"/>
    <mergeCell ref="C465:E465"/>
    <mergeCell ref="C466:E466"/>
    <mergeCell ref="C467:E467"/>
    <mergeCell ref="C542:E542"/>
    <mergeCell ref="C519:E519"/>
    <mergeCell ref="C665:E665"/>
    <mergeCell ref="C666:E666"/>
    <mergeCell ref="C667:E667"/>
    <mergeCell ref="C668:E668"/>
    <mergeCell ref="C669:E669"/>
    <mergeCell ref="C670:E670"/>
    <mergeCell ref="C671:E671"/>
    <mergeCell ref="C672:E672"/>
    <mergeCell ref="C543:E543"/>
    <mergeCell ref="C544:E544"/>
    <mergeCell ref="C545:E545"/>
    <mergeCell ref="C546:E546"/>
    <mergeCell ref="C547:E547"/>
    <mergeCell ref="C548:E548"/>
    <mergeCell ref="C549:E549"/>
    <mergeCell ref="C550:E550"/>
    <mergeCell ref="C551:E551"/>
    <mergeCell ref="C552:E552"/>
    <mergeCell ref="C553:E553"/>
    <mergeCell ref="C554:E554"/>
    <mergeCell ref="C555:E555"/>
    <mergeCell ref="C556:E556"/>
    <mergeCell ref="C557:E557"/>
    <mergeCell ref="C558:E558"/>
    <mergeCell ref="C559:E559"/>
    <mergeCell ref="C560:E560"/>
    <mergeCell ref="C561:E561"/>
    <mergeCell ref="C562:E562"/>
    <mergeCell ref="C563:E563"/>
    <mergeCell ref="C564:E564"/>
    <mergeCell ref="C565:E565"/>
    <mergeCell ref="C566:E566"/>
    <mergeCell ref="C673:E673"/>
    <mergeCell ref="C520:E520"/>
    <mergeCell ref="C521:E521"/>
    <mergeCell ref="C522:E522"/>
    <mergeCell ref="C523:E523"/>
    <mergeCell ref="C524:E524"/>
    <mergeCell ref="C525:E525"/>
    <mergeCell ref="C526:E526"/>
    <mergeCell ref="C527:E527"/>
    <mergeCell ref="C528:E528"/>
    <mergeCell ref="C529:E529"/>
    <mergeCell ref="C530:E530"/>
    <mergeCell ref="C531:E531"/>
    <mergeCell ref="C532:E532"/>
    <mergeCell ref="C533:E533"/>
    <mergeCell ref="C534:E534"/>
    <mergeCell ref="C535:E535"/>
    <mergeCell ref="C536:E536"/>
    <mergeCell ref="C537:E537"/>
    <mergeCell ref="C538:E538"/>
    <mergeCell ref="C539:E539"/>
    <mergeCell ref="C540:E540"/>
    <mergeCell ref="C541:E541"/>
    <mergeCell ref="C576:E576"/>
    <mergeCell ref="C577:E577"/>
    <mergeCell ref="C578:E578"/>
    <mergeCell ref="C579:E579"/>
    <mergeCell ref="C580:E580"/>
    <mergeCell ref="C581:E581"/>
    <mergeCell ref="C582:E582"/>
    <mergeCell ref="C583:E583"/>
    <mergeCell ref="C584:E584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C575:E575"/>
    <mergeCell ref="C594:E594"/>
    <mergeCell ref="C595:E595"/>
    <mergeCell ref="C596:E596"/>
    <mergeCell ref="C597:E597"/>
    <mergeCell ref="C598:E598"/>
    <mergeCell ref="C599:E599"/>
    <mergeCell ref="C600:E600"/>
    <mergeCell ref="C601:E601"/>
    <mergeCell ref="C602:E602"/>
    <mergeCell ref="C585:E585"/>
    <mergeCell ref="C586:E586"/>
    <mergeCell ref="C587:E587"/>
    <mergeCell ref="C588:E588"/>
    <mergeCell ref="C589:E589"/>
    <mergeCell ref="C590:E590"/>
    <mergeCell ref="C591:E591"/>
    <mergeCell ref="C592:E592"/>
    <mergeCell ref="C593:E593"/>
    <mergeCell ref="C655:E655"/>
    <mergeCell ref="C656:E656"/>
    <mergeCell ref="C612:E612"/>
    <mergeCell ref="C613:E613"/>
    <mergeCell ref="C614:E614"/>
    <mergeCell ref="C615:E615"/>
    <mergeCell ref="C616:E616"/>
    <mergeCell ref="C617:E617"/>
    <mergeCell ref="C618:E618"/>
    <mergeCell ref="C619:E619"/>
    <mergeCell ref="C620:E620"/>
    <mergeCell ref="C603:E603"/>
    <mergeCell ref="C604:E604"/>
    <mergeCell ref="C605:E605"/>
    <mergeCell ref="C606:E606"/>
    <mergeCell ref="C607:E607"/>
    <mergeCell ref="C608:E608"/>
    <mergeCell ref="C609:E609"/>
    <mergeCell ref="C610:E610"/>
    <mergeCell ref="C611:E611"/>
    <mergeCell ref="C633:E633"/>
    <mergeCell ref="C639:E639"/>
    <mergeCell ref="C677:E677"/>
    <mergeCell ref="C678:E678"/>
    <mergeCell ref="C679:E679"/>
    <mergeCell ref="C680:E680"/>
    <mergeCell ref="C681:E681"/>
    <mergeCell ref="C683:E683"/>
    <mergeCell ref="C640:E640"/>
    <mergeCell ref="C641:E641"/>
    <mergeCell ref="C642:E642"/>
    <mergeCell ref="C643:E643"/>
    <mergeCell ref="C682:E682"/>
    <mergeCell ref="C644:E644"/>
    <mergeCell ref="C645:E645"/>
    <mergeCell ref="C646:E646"/>
    <mergeCell ref="C647:E647"/>
    <mergeCell ref="C675:E675"/>
    <mergeCell ref="C676:E676"/>
    <mergeCell ref="C634:E634"/>
    <mergeCell ref="C635:E635"/>
    <mergeCell ref="C636:E636"/>
    <mergeCell ref="C637:E637"/>
    <mergeCell ref="C638:E638"/>
    <mergeCell ref="C662:E662"/>
    <mergeCell ref="C663:E663"/>
    <mergeCell ref="C664:E664"/>
    <mergeCell ref="C674:E674"/>
    <mergeCell ref="C651:E651"/>
    <mergeCell ref="C652:E652"/>
    <mergeCell ref="C653:E653"/>
    <mergeCell ref="C654:E654"/>
    <mergeCell ref="C684:E684"/>
    <mergeCell ref="C685:E685"/>
    <mergeCell ref="C686:E686"/>
    <mergeCell ref="C687:E687"/>
    <mergeCell ref="C688:E688"/>
    <mergeCell ref="C689:E689"/>
    <mergeCell ref="C693:H693"/>
    <mergeCell ref="F691:F692"/>
    <mergeCell ref="C709:G709"/>
    <mergeCell ref="C719:G719"/>
    <mergeCell ref="C720:G720"/>
    <mergeCell ref="C721:G721"/>
    <mergeCell ref="C621:E621"/>
    <mergeCell ref="C622:E622"/>
    <mergeCell ref="C623:E623"/>
    <mergeCell ref="C624:E624"/>
    <mergeCell ref="C625:E625"/>
    <mergeCell ref="C626:E626"/>
    <mergeCell ref="C627:E627"/>
    <mergeCell ref="C628:E628"/>
    <mergeCell ref="C629:E629"/>
    <mergeCell ref="C648:E648"/>
    <mergeCell ref="C649:E649"/>
    <mergeCell ref="C650:E650"/>
    <mergeCell ref="C657:E657"/>
    <mergeCell ref="C658:E658"/>
    <mergeCell ref="C659:E659"/>
    <mergeCell ref="C660:E660"/>
    <mergeCell ref="C661:E661"/>
    <mergeCell ref="C630:E630"/>
    <mergeCell ref="C631:E631"/>
    <mergeCell ref="C632:E632"/>
    <mergeCell ref="A729:H729"/>
    <mergeCell ref="A730:A731"/>
    <mergeCell ref="B730:E731"/>
    <mergeCell ref="F730:F731"/>
    <mergeCell ref="G730:H731"/>
    <mergeCell ref="A732:B733"/>
    <mergeCell ref="C732:F732"/>
    <mergeCell ref="A734:A735"/>
    <mergeCell ref="C761:E761"/>
    <mergeCell ref="C762:E762"/>
    <mergeCell ref="C763:E763"/>
    <mergeCell ref="C765:E765"/>
    <mergeCell ref="C766:E766"/>
    <mergeCell ref="C767:E767"/>
    <mergeCell ref="C768:E768"/>
    <mergeCell ref="C769:E769"/>
    <mergeCell ref="C770:E770"/>
    <mergeCell ref="C733:G733"/>
    <mergeCell ref="C751:E751"/>
    <mergeCell ref="C752:E752"/>
    <mergeCell ref="C753:E753"/>
    <mergeCell ref="C754:E754"/>
    <mergeCell ref="C755:E755"/>
    <mergeCell ref="C756:E756"/>
    <mergeCell ref="C757:E757"/>
    <mergeCell ref="C758:E758"/>
    <mergeCell ref="C759:E759"/>
    <mergeCell ref="C760:E760"/>
    <mergeCell ref="B734:E735"/>
    <mergeCell ref="F734:F735"/>
    <mergeCell ref="G734:H735"/>
    <mergeCell ref="A736:B742"/>
    <mergeCell ref="A693:B728"/>
    <mergeCell ref="C694:G694"/>
    <mergeCell ref="C695:G695"/>
    <mergeCell ref="C696:G696"/>
    <mergeCell ref="C697:G697"/>
    <mergeCell ref="C698:G698"/>
    <mergeCell ref="C699:G699"/>
    <mergeCell ref="C700:G700"/>
    <mergeCell ref="C701:G701"/>
    <mergeCell ref="C702:G702"/>
    <mergeCell ref="C703:G703"/>
    <mergeCell ref="C704:G704"/>
    <mergeCell ref="C705:G705"/>
    <mergeCell ref="C706:G706"/>
    <mergeCell ref="C707:G707"/>
    <mergeCell ref="C708:G708"/>
    <mergeCell ref="C722:G722"/>
    <mergeCell ref="C723:G723"/>
    <mergeCell ref="C724:G724"/>
    <mergeCell ref="C725:G725"/>
    <mergeCell ref="C726:G726"/>
    <mergeCell ref="C727:G727"/>
    <mergeCell ref="C711:G711"/>
    <mergeCell ref="C712:G712"/>
    <mergeCell ref="C713:G713"/>
    <mergeCell ref="C714:G714"/>
    <mergeCell ref="C715:G715"/>
    <mergeCell ref="C716:G716"/>
    <mergeCell ref="C717:G717"/>
    <mergeCell ref="C718:G718"/>
    <mergeCell ref="C710:G710"/>
    <mergeCell ref="C817:E817"/>
    <mergeCell ref="C818:E818"/>
    <mergeCell ref="C819:E819"/>
    <mergeCell ref="C787:E787"/>
    <mergeCell ref="C788:E788"/>
    <mergeCell ref="C789:E789"/>
    <mergeCell ref="C772:E772"/>
    <mergeCell ref="C773:E773"/>
    <mergeCell ref="C774:E774"/>
    <mergeCell ref="C775:E775"/>
    <mergeCell ref="C776:E776"/>
    <mergeCell ref="C777:E777"/>
    <mergeCell ref="C778:E778"/>
    <mergeCell ref="C779:E779"/>
    <mergeCell ref="C780:E780"/>
    <mergeCell ref="C812:E812"/>
    <mergeCell ref="C813:E813"/>
    <mergeCell ref="C814:E814"/>
    <mergeCell ref="C815:E815"/>
    <mergeCell ref="C816:E816"/>
    <mergeCell ref="C804:E804"/>
    <mergeCell ref="C805:E805"/>
    <mergeCell ref="C806:E806"/>
    <mergeCell ref="C807:E807"/>
    <mergeCell ref="C790:E790"/>
    <mergeCell ref="C791:E791"/>
    <mergeCell ref="C792:E792"/>
    <mergeCell ref="C793:E793"/>
    <mergeCell ref="C794:E794"/>
    <mergeCell ref="C795:E795"/>
    <mergeCell ref="C828:E828"/>
    <mergeCell ref="C829:E829"/>
    <mergeCell ref="C830:E830"/>
    <mergeCell ref="C831:E831"/>
    <mergeCell ref="C832:E832"/>
    <mergeCell ref="C833:E833"/>
    <mergeCell ref="C834:E834"/>
    <mergeCell ref="C835:E835"/>
    <mergeCell ref="C836:E836"/>
    <mergeCell ref="C840:E840"/>
    <mergeCell ref="C841:E841"/>
    <mergeCell ref="C842:E842"/>
    <mergeCell ref="C849:E849"/>
    <mergeCell ref="C850:E850"/>
    <mergeCell ref="C799:E799"/>
    <mergeCell ref="C800:E800"/>
    <mergeCell ref="C801:E801"/>
    <mergeCell ref="C802:E802"/>
    <mergeCell ref="C803:E803"/>
    <mergeCell ref="C837:E837"/>
    <mergeCell ref="C838:E838"/>
    <mergeCell ref="C839:E839"/>
    <mergeCell ref="C825:E825"/>
    <mergeCell ref="C826:E826"/>
    <mergeCell ref="C827:E827"/>
    <mergeCell ref="C808:E808"/>
    <mergeCell ref="C809:E809"/>
    <mergeCell ref="C810:E810"/>
    <mergeCell ref="C811:E811"/>
    <mergeCell ref="C820:E820"/>
    <mergeCell ref="C821:E821"/>
    <mergeCell ref="C822:E822"/>
    <mergeCell ref="C860:E860"/>
    <mergeCell ref="C861:E861"/>
    <mergeCell ref="C862:E862"/>
    <mergeCell ref="C863:E863"/>
    <mergeCell ref="C864:E864"/>
    <mergeCell ref="C865:E865"/>
    <mergeCell ref="C866:E866"/>
    <mergeCell ref="C867:E867"/>
    <mergeCell ref="C868:E868"/>
    <mergeCell ref="C843:E843"/>
    <mergeCell ref="C844:E844"/>
    <mergeCell ref="C845:E845"/>
    <mergeCell ref="C846:E846"/>
    <mergeCell ref="C847:E847"/>
    <mergeCell ref="C848:E848"/>
    <mergeCell ref="C851:E851"/>
    <mergeCell ref="C852:E852"/>
    <mergeCell ref="C859:E859"/>
    <mergeCell ref="C854:E854"/>
    <mergeCell ref="C855:E855"/>
    <mergeCell ref="C856:E856"/>
    <mergeCell ref="C857:E857"/>
    <mergeCell ref="C858:E858"/>
    <mergeCell ref="C853:E853"/>
    <mergeCell ref="C884:E884"/>
    <mergeCell ref="C885:E885"/>
    <mergeCell ref="C886:E886"/>
    <mergeCell ref="C887:E887"/>
    <mergeCell ref="C888:E888"/>
    <mergeCell ref="C869:E869"/>
    <mergeCell ref="C870:E870"/>
    <mergeCell ref="C871:E871"/>
    <mergeCell ref="C872:E872"/>
    <mergeCell ref="C889:E889"/>
    <mergeCell ref="C890:E890"/>
    <mergeCell ref="C873:E873"/>
    <mergeCell ref="C874:E874"/>
    <mergeCell ref="C875:E875"/>
    <mergeCell ref="C876:E876"/>
    <mergeCell ref="C877:E877"/>
    <mergeCell ref="C878:E878"/>
    <mergeCell ref="C879:E879"/>
    <mergeCell ref="C880:E880"/>
    <mergeCell ref="C881:E881"/>
    <mergeCell ref="C882:E882"/>
    <mergeCell ref="C883:E883"/>
    <mergeCell ref="C931:E931"/>
    <mergeCell ref="C932:E932"/>
    <mergeCell ref="C933:E933"/>
    <mergeCell ref="C934:E934"/>
    <mergeCell ref="C935:E935"/>
    <mergeCell ref="C891:E891"/>
    <mergeCell ref="C892:E892"/>
    <mergeCell ref="C893:E893"/>
    <mergeCell ref="C894:E894"/>
    <mergeCell ref="C895:E895"/>
    <mergeCell ref="C921:E921"/>
    <mergeCell ref="C920:E920"/>
    <mergeCell ref="C919:E919"/>
    <mergeCell ref="C918:E918"/>
    <mergeCell ref="C917:E917"/>
    <mergeCell ref="C916:E916"/>
    <mergeCell ref="C915:E915"/>
    <mergeCell ref="C914:E914"/>
    <mergeCell ref="C913:E913"/>
    <mergeCell ref="C912:E912"/>
    <mergeCell ref="C911:E911"/>
    <mergeCell ref="C910:E910"/>
    <mergeCell ref="C896:E896"/>
    <mergeCell ref="C897:E897"/>
    <mergeCell ref="C898:E898"/>
    <mergeCell ref="C899:E899"/>
    <mergeCell ref="C900:E900"/>
    <mergeCell ref="C901:E901"/>
    <mergeCell ref="C902:E902"/>
    <mergeCell ref="C903:E903"/>
    <mergeCell ref="C904:E904"/>
    <mergeCell ref="C905:E905"/>
    <mergeCell ref="C906:E906"/>
    <mergeCell ref="C907:E907"/>
    <mergeCell ref="C908:E908"/>
    <mergeCell ref="C909:E909"/>
    <mergeCell ref="C926:E926"/>
    <mergeCell ref="C936:E936"/>
    <mergeCell ref="C937:E937"/>
    <mergeCell ref="C938:E938"/>
    <mergeCell ref="C939:E939"/>
    <mergeCell ref="C940:E940"/>
    <mergeCell ref="C941:E941"/>
    <mergeCell ref="C942:E942"/>
    <mergeCell ref="C943:E943"/>
    <mergeCell ref="C944:E944"/>
    <mergeCell ref="C980:E980"/>
    <mergeCell ref="A1353:K1353"/>
    <mergeCell ref="A1355:K1355"/>
    <mergeCell ref="A1343:K1343"/>
    <mergeCell ref="A1344:K1344"/>
    <mergeCell ref="A1345:K1345"/>
    <mergeCell ref="A1346:K1346"/>
    <mergeCell ref="A1347:K1347"/>
    <mergeCell ref="A1348:K1348"/>
    <mergeCell ref="A1349:K1349"/>
    <mergeCell ref="A1350:K1350"/>
    <mergeCell ref="A1351:K1351"/>
    <mergeCell ref="C1321:F1321"/>
    <mergeCell ref="C1322:F1322"/>
    <mergeCell ref="C1324:F1324"/>
    <mergeCell ref="A1335:K1335"/>
    <mergeCell ref="A1341:K1341"/>
    <mergeCell ref="A1342:K1342"/>
    <mergeCell ref="C960:E960"/>
    <mergeCell ref="C961:E961"/>
    <mergeCell ref="C962:E962"/>
    <mergeCell ref="C981:E981"/>
    <mergeCell ref="C982:E982"/>
    <mergeCell ref="C1006:E1006"/>
    <mergeCell ref="C1005:E1005"/>
    <mergeCell ref="C1004:E1004"/>
    <mergeCell ref="C1003:E1003"/>
    <mergeCell ref="C1002:E1002"/>
    <mergeCell ref="C1001:E1001"/>
    <mergeCell ref="C1000:E1000"/>
    <mergeCell ref="C999:E999"/>
    <mergeCell ref="C998:E998"/>
    <mergeCell ref="C997:E997"/>
    <mergeCell ref="C996:E996"/>
    <mergeCell ref="C995:E995"/>
    <mergeCell ref="C994:E994"/>
    <mergeCell ref="C993:E993"/>
    <mergeCell ref="C992:E992"/>
    <mergeCell ref="C991:E991"/>
    <mergeCell ref="C990:E990"/>
    <mergeCell ref="C989:E989"/>
    <mergeCell ref="C988:E988"/>
    <mergeCell ref="C987:E987"/>
    <mergeCell ref="C986:E986"/>
    <mergeCell ref="C945:E945"/>
    <mergeCell ref="C946:E946"/>
    <mergeCell ref="C947:E947"/>
    <mergeCell ref="C948:E948"/>
    <mergeCell ref="C949:E949"/>
    <mergeCell ref="C950:E950"/>
    <mergeCell ref="C951:E951"/>
    <mergeCell ref="C952:E952"/>
    <mergeCell ref="C953:E953"/>
    <mergeCell ref="C972:E972"/>
    <mergeCell ref="C973:E973"/>
    <mergeCell ref="C974:E974"/>
    <mergeCell ref="C975:E975"/>
    <mergeCell ref="C976:E976"/>
    <mergeCell ref="C977:E977"/>
    <mergeCell ref="C978:E978"/>
    <mergeCell ref="C979:E979"/>
    <mergeCell ref="C967:E967"/>
    <mergeCell ref="C968:E968"/>
    <mergeCell ref="C969:E969"/>
    <mergeCell ref="C970:E970"/>
    <mergeCell ref="C971:E971"/>
    <mergeCell ref="C963:E963"/>
    <mergeCell ref="C964:E964"/>
    <mergeCell ref="C965:E965"/>
    <mergeCell ref="C966:E966"/>
    <mergeCell ref="C954:E954"/>
    <mergeCell ref="C955:E955"/>
    <mergeCell ref="C956:E956"/>
    <mergeCell ref="C957:E957"/>
    <mergeCell ref="C958:E958"/>
    <mergeCell ref="C959:E959"/>
    <mergeCell ref="C985:E985"/>
    <mergeCell ref="C984:E984"/>
    <mergeCell ref="C983:E983"/>
    <mergeCell ref="C1210:E1210"/>
    <mergeCell ref="C1211:E1211"/>
    <mergeCell ref="C1212:E1212"/>
    <mergeCell ref="C1213:E1213"/>
    <mergeCell ref="C1007:E1007"/>
    <mergeCell ref="C1008:E1008"/>
    <mergeCell ref="C1009:E1009"/>
    <mergeCell ref="C1010:E1010"/>
    <mergeCell ref="C1011:E1011"/>
    <mergeCell ref="C1012:E1012"/>
    <mergeCell ref="C1013:E1013"/>
    <mergeCell ref="C1014:E1014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C1023:E1023"/>
    <mergeCell ref="C1024:E1024"/>
    <mergeCell ref="C1034:E1034"/>
    <mergeCell ref="C1035:E1035"/>
    <mergeCell ref="C1036:E1036"/>
    <mergeCell ref="C1037:E1037"/>
    <mergeCell ref="C1038:E1038"/>
    <mergeCell ref="C1039:E1039"/>
    <mergeCell ref="C1040:E1040"/>
    <mergeCell ref="C1214:E1214"/>
    <mergeCell ref="C1215:E1215"/>
    <mergeCell ref="C1189:E1189"/>
    <mergeCell ref="C1190:E1190"/>
    <mergeCell ref="C1191:E1191"/>
    <mergeCell ref="C1192:E1192"/>
    <mergeCell ref="C1193:E1193"/>
    <mergeCell ref="C1194:E1194"/>
    <mergeCell ref="C1195:E1195"/>
    <mergeCell ref="C1196:E1196"/>
    <mergeCell ref="C1197:E1197"/>
    <mergeCell ref="C1198:E1198"/>
    <mergeCell ref="C1199:E1199"/>
    <mergeCell ref="C1200:E1200"/>
    <mergeCell ref="C1201:E1201"/>
    <mergeCell ref="C1202:E1202"/>
    <mergeCell ref="C1203:E1203"/>
    <mergeCell ref="C1204:E1204"/>
    <mergeCell ref="C1205:E1205"/>
    <mergeCell ref="C1206:E1206"/>
    <mergeCell ref="C1207:E1207"/>
    <mergeCell ref="C1208:E1208"/>
    <mergeCell ref="C1209:E1209"/>
    <mergeCell ref="C1225:E1225"/>
    <mergeCell ref="C1226:E1226"/>
    <mergeCell ref="C1227:E1227"/>
    <mergeCell ref="C1228:E1228"/>
    <mergeCell ref="C1229:E1229"/>
    <mergeCell ref="C1171:E1171"/>
    <mergeCell ref="C1172:E1172"/>
    <mergeCell ref="C1173:E1173"/>
    <mergeCell ref="C1174:E1174"/>
    <mergeCell ref="C1175:E1175"/>
    <mergeCell ref="C1176:E1176"/>
    <mergeCell ref="C1177:E1177"/>
    <mergeCell ref="C1178:E1178"/>
    <mergeCell ref="C1179:E1179"/>
    <mergeCell ref="C1180:E1180"/>
    <mergeCell ref="C1181:E1181"/>
    <mergeCell ref="C1182:E1182"/>
    <mergeCell ref="C1183:E1183"/>
    <mergeCell ref="C1184:E1184"/>
    <mergeCell ref="C1185:E1185"/>
    <mergeCell ref="C1186:E1186"/>
    <mergeCell ref="C1187:E1187"/>
    <mergeCell ref="C1188:E1188"/>
    <mergeCell ref="C1216:E1216"/>
    <mergeCell ref="C1217:E1217"/>
    <mergeCell ref="C1218:E1218"/>
    <mergeCell ref="C1219:E1219"/>
    <mergeCell ref="C1220:E1220"/>
    <mergeCell ref="C1221:E1221"/>
    <mergeCell ref="C1222:E1222"/>
    <mergeCell ref="C1223:E1223"/>
    <mergeCell ref="C1224:E1224"/>
    <mergeCell ref="C1041:E1041"/>
    <mergeCell ref="C1042:E1042"/>
    <mergeCell ref="C1025:E1025"/>
    <mergeCell ref="C1026:E1026"/>
    <mergeCell ref="C1027:E1027"/>
    <mergeCell ref="C1028:E1028"/>
    <mergeCell ref="C1029:E1029"/>
    <mergeCell ref="C1030:E1030"/>
    <mergeCell ref="C1031:E1031"/>
    <mergeCell ref="C1032:E1032"/>
    <mergeCell ref="C1033:E1033"/>
    <mergeCell ref="C1052:E1052"/>
    <mergeCell ref="C1053:E1053"/>
    <mergeCell ref="C1054:E1054"/>
    <mergeCell ref="C1055:E1055"/>
    <mergeCell ref="C1056:E1056"/>
    <mergeCell ref="C1057:E1057"/>
    <mergeCell ref="C1058:E1058"/>
    <mergeCell ref="C1059:E1059"/>
    <mergeCell ref="C1060:E1060"/>
    <mergeCell ref="C1043:E1043"/>
    <mergeCell ref="C1044:E1044"/>
    <mergeCell ref="C1045:E1045"/>
    <mergeCell ref="C1046:E1046"/>
    <mergeCell ref="C1047:E1047"/>
    <mergeCell ref="C1048:E1048"/>
    <mergeCell ref="C1049:E1049"/>
    <mergeCell ref="C1050:E1050"/>
    <mergeCell ref="C1051:E1051"/>
    <mergeCell ref="C1070:E1070"/>
    <mergeCell ref="C1071:E1071"/>
    <mergeCell ref="C1072:E1072"/>
    <mergeCell ref="C1073:E1073"/>
    <mergeCell ref="C1074:E1074"/>
    <mergeCell ref="C1075:E1075"/>
    <mergeCell ref="C1076:E1076"/>
    <mergeCell ref="C1077:E1077"/>
    <mergeCell ref="C1078:E1078"/>
    <mergeCell ref="C1061:E1061"/>
    <mergeCell ref="C1062:E1062"/>
    <mergeCell ref="C1063:E1063"/>
    <mergeCell ref="C1064:E1064"/>
    <mergeCell ref="C1065:E1065"/>
    <mergeCell ref="C1066:E1066"/>
    <mergeCell ref="C1067:E1067"/>
    <mergeCell ref="C1068:E1068"/>
    <mergeCell ref="C1069:E1069"/>
    <mergeCell ref="C1170:E1170"/>
    <mergeCell ref="C1169:E1169"/>
    <mergeCell ref="C1168:E1168"/>
    <mergeCell ref="C1167:E1167"/>
    <mergeCell ref="C1166:E1166"/>
    <mergeCell ref="C1165:E1165"/>
    <mergeCell ref="C1164:E1164"/>
    <mergeCell ref="C1163:E1163"/>
    <mergeCell ref="C1162:E1162"/>
    <mergeCell ref="C1161:E1161"/>
    <mergeCell ref="C1160:E1160"/>
    <mergeCell ref="C1159:E1159"/>
    <mergeCell ref="C1158:E1158"/>
    <mergeCell ref="C1157:E1157"/>
    <mergeCell ref="C1156:E1156"/>
    <mergeCell ref="C1155:E1155"/>
    <mergeCell ref="C1079:E1079"/>
    <mergeCell ref="C1080:E1080"/>
    <mergeCell ref="C1081:E1081"/>
    <mergeCell ref="C1154:E1154"/>
    <mergeCell ref="C1153:E1153"/>
    <mergeCell ref="C1152:E1152"/>
    <mergeCell ref="C1151:E1151"/>
    <mergeCell ref="C1150:E1150"/>
    <mergeCell ref="C1149:E1149"/>
    <mergeCell ref="C1148:E1148"/>
    <mergeCell ref="C1147:E1147"/>
    <mergeCell ref="C1146:E1146"/>
    <mergeCell ref="C1088:E1088"/>
    <mergeCell ref="C1089:E1089"/>
    <mergeCell ref="C1090:E1090"/>
    <mergeCell ref="C1091:E1091"/>
    <mergeCell ref="C1092:E1092"/>
    <mergeCell ref="C1093:E1093"/>
    <mergeCell ref="C1094:E1094"/>
    <mergeCell ref="C1095:E1095"/>
    <mergeCell ref="C1115:E1115"/>
    <mergeCell ref="C1116:E1116"/>
    <mergeCell ref="C1117:E1117"/>
    <mergeCell ref="C1118:E1118"/>
    <mergeCell ref="C1119:E1119"/>
    <mergeCell ref="C1120:E1120"/>
    <mergeCell ref="C1121:E1121"/>
    <mergeCell ref="C1122:E1122"/>
    <mergeCell ref="C1123:E1123"/>
    <mergeCell ref="C1142:E1142"/>
    <mergeCell ref="C1143:E1143"/>
    <mergeCell ref="C1144:E1144"/>
    <mergeCell ref="C1145:E1145"/>
    <mergeCell ref="C1140:E1140"/>
    <mergeCell ref="C1141:E1141"/>
    <mergeCell ref="C1124:E1124"/>
    <mergeCell ref="C1125:E1125"/>
    <mergeCell ref="C1126:E1126"/>
    <mergeCell ref="C1127:E1127"/>
    <mergeCell ref="C1128:E1128"/>
    <mergeCell ref="C1130:E1130"/>
    <mergeCell ref="C1129:E1129"/>
    <mergeCell ref="C1131:E1131"/>
    <mergeCell ref="C1132:E1132"/>
    <mergeCell ref="C1082:E1082"/>
    <mergeCell ref="C1083:E1083"/>
    <mergeCell ref="C1084:E1084"/>
    <mergeCell ref="C1085:E1085"/>
    <mergeCell ref="C1086:E1086"/>
    <mergeCell ref="C1087:E1087"/>
    <mergeCell ref="C1096:E1096"/>
    <mergeCell ref="C1097:E1097"/>
    <mergeCell ref="C1098:E1098"/>
    <mergeCell ref="C1099:E1099"/>
    <mergeCell ref="C1100:E1100"/>
    <mergeCell ref="C1101:E1101"/>
    <mergeCell ref="C1102:E1102"/>
    <mergeCell ref="C1103:E1103"/>
    <mergeCell ref="C1104:E1104"/>
    <mergeCell ref="C1105:E1105"/>
    <mergeCell ref="C1133:E1133"/>
    <mergeCell ref="C1134:E1134"/>
    <mergeCell ref="C1135:E1135"/>
    <mergeCell ref="C1136:E1136"/>
    <mergeCell ref="C1137:E1137"/>
    <mergeCell ref="C1138:E1138"/>
    <mergeCell ref="C1139:E1139"/>
    <mergeCell ref="C1107:E1107"/>
    <mergeCell ref="C1106:E1106"/>
    <mergeCell ref="C1108:E1108"/>
    <mergeCell ref="C1109:E1109"/>
    <mergeCell ref="C1110:E1110"/>
    <mergeCell ref="C1111:E1111"/>
    <mergeCell ref="C1112:E1112"/>
    <mergeCell ref="C1113:E1113"/>
    <mergeCell ref="C1114:E1114"/>
  </mergeCells>
  <phoneticPr fontId="74" type="noConversion"/>
  <printOptions headings="1"/>
  <pageMargins left="0.51181102362204722" right="0.51181102362204722" top="0.74803149606299213" bottom="0.74803149606299213" header="0.31496062992125984" footer="0.51181102362204722"/>
  <pageSetup paperSize="9" scale="42" firstPageNumber="0" fitToHeight="0" orientation="portrait" r:id="rId1"/>
  <headerFooter>
    <oddHeader>&amp;R&amp;A melléklet a /2026.(V.28.) önkormányzati rendelethez/ &amp;P.oldal</oddHeader>
  </headerFooter>
  <rowBreaks count="14" manualBreakCount="14">
    <brk id="93" max="16383" man="1"/>
    <brk id="127" max="16383" man="1"/>
    <brk id="174" max="16383" man="1"/>
    <brk id="268" max="16383" man="1"/>
    <brk id="311" max="16383" man="1"/>
    <brk id="410" max="16383" man="1"/>
    <brk id="461" max="16383" man="1"/>
    <brk id="572" max="11" man="1"/>
    <brk id="664" max="16383" man="1"/>
    <brk id="690" max="16383" man="1"/>
    <brk id="740" max="16383" man="1"/>
    <brk id="922" max="16383" man="1"/>
    <brk id="1252" max="16383" man="1"/>
    <brk id="129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56"/>
  <sheetViews>
    <sheetView tabSelected="1" zoomScale="80" zoomScaleNormal="80" workbookViewId="0">
      <selection activeCell="E9" sqref="E9:F9"/>
    </sheetView>
  </sheetViews>
  <sheetFormatPr defaultRowHeight="12.75"/>
  <cols>
    <col min="1" max="1" width="86.42578125" style="468" bestFit="1" customWidth="1"/>
    <col min="2" max="2" width="21" style="468" customWidth="1"/>
    <col min="3" max="3" width="28.28515625" style="468" customWidth="1"/>
    <col min="4" max="4" width="13.28515625" style="468" customWidth="1"/>
    <col min="5" max="5" width="17.7109375" style="468" bestFit="1" customWidth="1"/>
    <col min="6" max="6" width="14.140625" style="468" bestFit="1" customWidth="1"/>
    <col min="7" max="7" width="58.140625" style="468" bestFit="1" customWidth="1"/>
    <col min="8" max="8" width="9.140625" style="468"/>
    <col min="9" max="9" width="9.140625" style="468" customWidth="1"/>
    <col min="10" max="257" width="9.140625" style="468"/>
    <col min="258" max="258" width="21" style="468" customWidth="1"/>
    <col min="259" max="259" width="28.28515625" style="468" customWidth="1"/>
    <col min="260" max="261" width="13.28515625" style="468" customWidth="1"/>
    <col min="262" max="262" width="13.85546875" style="468" customWidth="1"/>
    <col min="263" max="263" width="13.28515625" style="468" customWidth="1"/>
    <col min="264" max="513" width="9.140625" style="468"/>
    <col min="514" max="514" width="21" style="468" customWidth="1"/>
    <col min="515" max="515" width="28.28515625" style="468" customWidth="1"/>
    <col min="516" max="517" width="13.28515625" style="468" customWidth="1"/>
    <col min="518" max="518" width="13.85546875" style="468" customWidth="1"/>
    <col min="519" max="519" width="13.28515625" style="468" customWidth="1"/>
    <col min="520" max="769" width="9.140625" style="468"/>
    <col min="770" max="770" width="21" style="468" customWidth="1"/>
    <col min="771" max="771" width="28.28515625" style="468" customWidth="1"/>
    <col min="772" max="773" width="13.28515625" style="468" customWidth="1"/>
    <col min="774" max="774" width="13.85546875" style="468" customWidth="1"/>
    <col min="775" max="775" width="13.28515625" style="468" customWidth="1"/>
    <col min="776" max="1025" width="9.140625" style="468"/>
    <col min="1026" max="1026" width="21" style="468" customWidth="1"/>
    <col min="1027" max="1027" width="28.28515625" style="468" customWidth="1"/>
    <col min="1028" max="1029" width="13.28515625" style="468" customWidth="1"/>
    <col min="1030" max="1030" width="13.85546875" style="468" customWidth="1"/>
    <col min="1031" max="1031" width="13.28515625" style="468" customWidth="1"/>
    <col min="1032" max="1281" width="9.140625" style="468"/>
    <col min="1282" max="1282" width="21" style="468" customWidth="1"/>
    <col min="1283" max="1283" width="28.28515625" style="468" customWidth="1"/>
    <col min="1284" max="1285" width="13.28515625" style="468" customWidth="1"/>
    <col min="1286" max="1286" width="13.85546875" style="468" customWidth="1"/>
    <col min="1287" max="1287" width="13.28515625" style="468" customWidth="1"/>
    <col min="1288" max="1537" width="9.140625" style="468"/>
    <col min="1538" max="1538" width="21" style="468" customWidth="1"/>
    <col min="1539" max="1539" width="28.28515625" style="468" customWidth="1"/>
    <col min="1540" max="1541" width="13.28515625" style="468" customWidth="1"/>
    <col min="1542" max="1542" width="13.85546875" style="468" customWidth="1"/>
    <col min="1543" max="1543" width="13.28515625" style="468" customWidth="1"/>
    <col min="1544" max="1793" width="9.140625" style="468"/>
    <col min="1794" max="1794" width="21" style="468" customWidth="1"/>
    <col min="1795" max="1795" width="28.28515625" style="468" customWidth="1"/>
    <col min="1796" max="1797" width="13.28515625" style="468" customWidth="1"/>
    <col min="1798" max="1798" width="13.85546875" style="468" customWidth="1"/>
    <col min="1799" max="1799" width="13.28515625" style="468" customWidth="1"/>
    <col min="1800" max="2049" width="9.140625" style="468"/>
    <col min="2050" max="2050" width="21" style="468" customWidth="1"/>
    <col min="2051" max="2051" width="28.28515625" style="468" customWidth="1"/>
    <col min="2052" max="2053" width="13.28515625" style="468" customWidth="1"/>
    <col min="2054" max="2054" width="13.85546875" style="468" customWidth="1"/>
    <col min="2055" max="2055" width="13.28515625" style="468" customWidth="1"/>
    <col min="2056" max="2305" width="9.140625" style="468"/>
    <col min="2306" max="2306" width="21" style="468" customWidth="1"/>
    <col min="2307" max="2307" width="28.28515625" style="468" customWidth="1"/>
    <col min="2308" max="2309" width="13.28515625" style="468" customWidth="1"/>
    <col min="2310" max="2310" width="13.85546875" style="468" customWidth="1"/>
    <col min="2311" max="2311" width="13.28515625" style="468" customWidth="1"/>
    <col min="2312" max="2561" width="9.140625" style="468"/>
    <col min="2562" max="2562" width="21" style="468" customWidth="1"/>
    <col min="2563" max="2563" width="28.28515625" style="468" customWidth="1"/>
    <col min="2564" max="2565" width="13.28515625" style="468" customWidth="1"/>
    <col min="2566" max="2566" width="13.85546875" style="468" customWidth="1"/>
    <col min="2567" max="2567" width="13.28515625" style="468" customWidth="1"/>
    <col min="2568" max="2817" width="9.140625" style="468"/>
    <col min="2818" max="2818" width="21" style="468" customWidth="1"/>
    <col min="2819" max="2819" width="28.28515625" style="468" customWidth="1"/>
    <col min="2820" max="2821" width="13.28515625" style="468" customWidth="1"/>
    <col min="2822" max="2822" width="13.85546875" style="468" customWidth="1"/>
    <col min="2823" max="2823" width="13.28515625" style="468" customWidth="1"/>
    <col min="2824" max="3073" width="9.140625" style="468"/>
    <col min="3074" max="3074" width="21" style="468" customWidth="1"/>
    <col min="3075" max="3075" width="28.28515625" style="468" customWidth="1"/>
    <col min="3076" max="3077" width="13.28515625" style="468" customWidth="1"/>
    <col min="3078" max="3078" width="13.85546875" style="468" customWidth="1"/>
    <col min="3079" max="3079" width="13.28515625" style="468" customWidth="1"/>
    <col min="3080" max="3329" width="9.140625" style="468"/>
    <col min="3330" max="3330" width="21" style="468" customWidth="1"/>
    <col min="3331" max="3331" width="28.28515625" style="468" customWidth="1"/>
    <col min="3332" max="3333" width="13.28515625" style="468" customWidth="1"/>
    <col min="3334" max="3334" width="13.85546875" style="468" customWidth="1"/>
    <col min="3335" max="3335" width="13.28515625" style="468" customWidth="1"/>
    <col min="3336" max="3585" width="9.140625" style="468"/>
    <col min="3586" max="3586" width="21" style="468" customWidth="1"/>
    <col min="3587" max="3587" width="28.28515625" style="468" customWidth="1"/>
    <col min="3588" max="3589" width="13.28515625" style="468" customWidth="1"/>
    <col min="3590" max="3590" width="13.85546875" style="468" customWidth="1"/>
    <col min="3591" max="3591" width="13.28515625" style="468" customWidth="1"/>
    <col min="3592" max="3841" width="9.140625" style="468"/>
    <col min="3842" max="3842" width="21" style="468" customWidth="1"/>
    <col min="3843" max="3843" width="28.28515625" style="468" customWidth="1"/>
    <col min="3844" max="3845" width="13.28515625" style="468" customWidth="1"/>
    <col min="3846" max="3846" width="13.85546875" style="468" customWidth="1"/>
    <col min="3847" max="3847" width="13.28515625" style="468" customWidth="1"/>
    <col min="3848" max="4097" width="9.140625" style="468"/>
    <col min="4098" max="4098" width="21" style="468" customWidth="1"/>
    <col min="4099" max="4099" width="28.28515625" style="468" customWidth="1"/>
    <col min="4100" max="4101" width="13.28515625" style="468" customWidth="1"/>
    <col min="4102" max="4102" width="13.85546875" style="468" customWidth="1"/>
    <col min="4103" max="4103" width="13.28515625" style="468" customWidth="1"/>
    <col min="4104" max="4353" width="9.140625" style="468"/>
    <col min="4354" max="4354" width="21" style="468" customWidth="1"/>
    <col min="4355" max="4355" width="28.28515625" style="468" customWidth="1"/>
    <col min="4356" max="4357" width="13.28515625" style="468" customWidth="1"/>
    <col min="4358" max="4358" width="13.85546875" style="468" customWidth="1"/>
    <col min="4359" max="4359" width="13.28515625" style="468" customWidth="1"/>
    <col min="4360" max="4609" width="9.140625" style="468"/>
    <col min="4610" max="4610" width="21" style="468" customWidth="1"/>
    <col min="4611" max="4611" width="28.28515625" style="468" customWidth="1"/>
    <col min="4612" max="4613" width="13.28515625" style="468" customWidth="1"/>
    <col min="4614" max="4614" width="13.85546875" style="468" customWidth="1"/>
    <col min="4615" max="4615" width="13.28515625" style="468" customWidth="1"/>
    <col min="4616" max="4865" width="9.140625" style="468"/>
    <col min="4866" max="4866" width="21" style="468" customWidth="1"/>
    <col min="4867" max="4867" width="28.28515625" style="468" customWidth="1"/>
    <col min="4868" max="4869" width="13.28515625" style="468" customWidth="1"/>
    <col min="4870" max="4870" width="13.85546875" style="468" customWidth="1"/>
    <col min="4871" max="4871" width="13.28515625" style="468" customWidth="1"/>
    <col min="4872" max="5121" width="9.140625" style="468"/>
    <col min="5122" max="5122" width="21" style="468" customWidth="1"/>
    <col min="5123" max="5123" width="28.28515625" style="468" customWidth="1"/>
    <col min="5124" max="5125" width="13.28515625" style="468" customWidth="1"/>
    <col min="5126" max="5126" width="13.85546875" style="468" customWidth="1"/>
    <col min="5127" max="5127" width="13.28515625" style="468" customWidth="1"/>
    <col min="5128" max="5377" width="9.140625" style="468"/>
    <col min="5378" max="5378" width="21" style="468" customWidth="1"/>
    <col min="5379" max="5379" width="28.28515625" style="468" customWidth="1"/>
    <col min="5380" max="5381" width="13.28515625" style="468" customWidth="1"/>
    <col min="5382" max="5382" width="13.85546875" style="468" customWidth="1"/>
    <col min="5383" max="5383" width="13.28515625" style="468" customWidth="1"/>
    <col min="5384" max="5633" width="9.140625" style="468"/>
    <col min="5634" max="5634" width="21" style="468" customWidth="1"/>
    <col min="5635" max="5635" width="28.28515625" style="468" customWidth="1"/>
    <col min="5636" max="5637" width="13.28515625" style="468" customWidth="1"/>
    <col min="5638" max="5638" width="13.85546875" style="468" customWidth="1"/>
    <col min="5639" max="5639" width="13.28515625" style="468" customWidth="1"/>
    <col min="5640" max="5889" width="9.140625" style="468"/>
    <col min="5890" max="5890" width="21" style="468" customWidth="1"/>
    <col min="5891" max="5891" width="28.28515625" style="468" customWidth="1"/>
    <col min="5892" max="5893" width="13.28515625" style="468" customWidth="1"/>
    <col min="5894" max="5894" width="13.85546875" style="468" customWidth="1"/>
    <col min="5895" max="5895" width="13.28515625" style="468" customWidth="1"/>
    <col min="5896" max="6145" width="9.140625" style="468"/>
    <col min="6146" max="6146" width="21" style="468" customWidth="1"/>
    <col min="6147" max="6147" width="28.28515625" style="468" customWidth="1"/>
    <col min="6148" max="6149" width="13.28515625" style="468" customWidth="1"/>
    <col min="6150" max="6150" width="13.85546875" style="468" customWidth="1"/>
    <col min="6151" max="6151" width="13.28515625" style="468" customWidth="1"/>
    <col min="6152" max="6401" width="9.140625" style="468"/>
    <col min="6402" max="6402" width="21" style="468" customWidth="1"/>
    <col min="6403" max="6403" width="28.28515625" style="468" customWidth="1"/>
    <col min="6404" max="6405" width="13.28515625" style="468" customWidth="1"/>
    <col min="6406" max="6406" width="13.85546875" style="468" customWidth="1"/>
    <col min="6407" max="6407" width="13.28515625" style="468" customWidth="1"/>
    <col min="6408" max="6657" width="9.140625" style="468"/>
    <col min="6658" max="6658" width="21" style="468" customWidth="1"/>
    <col min="6659" max="6659" width="28.28515625" style="468" customWidth="1"/>
    <col min="6660" max="6661" width="13.28515625" style="468" customWidth="1"/>
    <col min="6662" max="6662" width="13.85546875" style="468" customWidth="1"/>
    <col min="6663" max="6663" width="13.28515625" style="468" customWidth="1"/>
    <col min="6664" max="6913" width="9.140625" style="468"/>
    <col min="6914" max="6914" width="21" style="468" customWidth="1"/>
    <col min="6915" max="6915" width="28.28515625" style="468" customWidth="1"/>
    <col min="6916" max="6917" width="13.28515625" style="468" customWidth="1"/>
    <col min="6918" max="6918" width="13.85546875" style="468" customWidth="1"/>
    <col min="6919" max="6919" width="13.28515625" style="468" customWidth="1"/>
    <col min="6920" max="7169" width="9.140625" style="468"/>
    <col min="7170" max="7170" width="21" style="468" customWidth="1"/>
    <col min="7171" max="7171" width="28.28515625" style="468" customWidth="1"/>
    <col min="7172" max="7173" width="13.28515625" style="468" customWidth="1"/>
    <col min="7174" max="7174" width="13.85546875" style="468" customWidth="1"/>
    <col min="7175" max="7175" width="13.28515625" style="468" customWidth="1"/>
    <col min="7176" max="7425" width="9.140625" style="468"/>
    <col min="7426" max="7426" width="21" style="468" customWidth="1"/>
    <col min="7427" max="7427" width="28.28515625" style="468" customWidth="1"/>
    <col min="7428" max="7429" width="13.28515625" style="468" customWidth="1"/>
    <col min="7430" max="7430" width="13.85546875" style="468" customWidth="1"/>
    <col min="7431" max="7431" width="13.28515625" style="468" customWidth="1"/>
    <col min="7432" max="7681" width="9.140625" style="468"/>
    <col min="7682" max="7682" width="21" style="468" customWidth="1"/>
    <col min="7683" max="7683" width="28.28515625" style="468" customWidth="1"/>
    <col min="7684" max="7685" width="13.28515625" style="468" customWidth="1"/>
    <col min="7686" max="7686" width="13.85546875" style="468" customWidth="1"/>
    <col min="7687" max="7687" width="13.28515625" style="468" customWidth="1"/>
    <col min="7688" max="7937" width="9.140625" style="468"/>
    <col min="7938" max="7938" width="21" style="468" customWidth="1"/>
    <col min="7939" max="7939" width="28.28515625" style="468" customWidth="1"/>
    <col min="7940" max="7941" width="13.28515625" style="468" customWidth="1"/>
    <col min="7942" max="7942" width="13.85546875" style="468" customWidth="1"/>
    <col min="7943" max="7943" width="13.28515625" style="468" customWidth="1"/>
    <col min="7944" max="8193" width="9.140625" style="468"/>
    <col min="8194" max="8194" width="21" style="468" customWidth="1"/>
    <col min="8195" max="8195" width="28.28515625" style="468" customWidth="1"/>
    <col min="8196" max="8197" width="13.28515625" style="468" customWidth="1"/>
    <col min="8198" max="8198" width="13.85546875" style="468" customWidth="1"/>
    <col min="8199" max="8199" width="13.28515625" style="468" customWidth="1"/>
    <col min="8200" max="8449" width="9.140625" style="468"/>
    <col min="8450" max="8450" width="21" style="468" customWidth="1"/>
    <col min="8451" max="8451" width="28.28515625" style="468" customWidth="1"/>
    <col min="8452" max="8453" width="13.28515625" style="468" customWidth="1"/>
    <col min="8454" max="8454" width="13.85546875" style="468" customWidth="1"/>
    <col min="8455" max="8455" width="13.28515625" style="468" customWidth="1"/>
    <col min="8456" max="8705" width="9.140625" style="468"/>
    <col min="8706" max="8706" width="21" style="468" customWidth="1"/>
    <col min="8707" max="8707" width="28.28515625" style="468" customWidth="1"/>
    <col min="8708" max="8709" width="13.28515625" style="468" customWidth="1"/>
    <col min="8710" max="8710" width="13.85546875" style="468" customWidth="1"/>
    <col min="8711" max="8711" width="13.28515625" style="468" customWidth="1"/>
    <col min="8712" max="8961" width="9.140625" style="468"/>
    <col min="8962" max="8962" width="21" style="468" customWidth="1"/>
    <col min="8963" max="8963" width="28.28515625" style="468" customWidth="1"/>
    <col min="8964" max="8965" width="13.28515625" style="468" customWidth="1"/>
    <col min="8966" max="8966" width="13.85546875" style="468" customWidth="1"/>
    <col min="8967" max="8967" width="13.28515625" style="468" customWidth="1"/>
    <col min="8968" max="9217" width="9.140625" style="468"/>
    <col min="9218" max="9218" width="21" style="468" customWidth="1"/>
    <col min="9219" max="9219" width="28.28515625" style="468" customWidth="1"/>
    <col min="9220" max="9221" width="13.28515625" style="468" customWidth="1"/>
    <col min="9222" max="9222" width="13.85546875" style="468" customWidth="1"/>
    <col min="9223" max="9223" width="13.28515625" style="468" customWidth="1"/>
    <col min="9224" max="9473" width="9.140625" style="468"/>
    <col min="9474" max="9474" width="21" style="468" customWidth="1"/>
    <col min="9475" max="9475" width="28.28515625" style="468" customWidth="1"/>
    <col min="9476" max="9477" width="13.28515625" style="468" customWidth="1"/>
    <col min="9478" max="9478" width="13.85546875" style="468" customWidth="1"/>
    <col min="9479" max="9479" width="13.28515625" style="468" customWidth="1"/>
    <col min="9480" max="9729" width="9.140625" style="468"/>
    <col min="9730" max="9730" width="21" style="468" customWidth="1"/>
    <col min="9731" max="9731" width="28.28515625" style="468" customWidth="1"/>
    <col min="9732" max="9733" width="13.28515625" style="468" customWidth="1"/>
    <col min="9734" max="9734" width="13.85546875" style="468" customWidth="1"/>
    <col min="9735" max="9735" width="13.28515625" style="468" customWidth="1"/>
    <col min="9736" max="9985" width="9.140625" style="468"/>
    <col min="9986" max="9986" width="21" style="468" customWidth="1"/>
    <col min="9987" max="9987" width="28.28515625" style="468" customWidth="1"/>
    <col min="9988" max="9989" width="13.28515625" style="468" customWidth="1"/>
    <col min="9990" max="9990" width="13.85546875" style="468" customWidth="1"/>
    <col min="9991" max="9991" width="13.28515625" style="468" customWidth="1"/>
    <col min="9992" max="10241" width="9.140625" style="468"/>
    <col min="10242" max="10242" width="21" style="468" customWidth="1"/>
    <col min="10243" max="10243" width="28.28515625" style="468" customWidth="1"/>
    <col min="10244" max="10245" width="13.28515625" style="468" customWidth="1"/>
    <col min="10246" max="10246" width="13.85546875" style="468" customWidth="1"/>
    <col min="10247" max="10247" width="13.28515625" style="468" customWidth="1"/>
    <col min="10248" max="10497" width="9.140625" style="468"/>
    <col min="10498" max="10498" width="21" style="468" customWidth="1"/>
    <col min="10499" max="10499" width="28.28515625" style="468" customWidth="1"/>
    <col min="10500" max="10501" width="13.28515625" style="468" customWidth="1"/>
    <col min="10502" max="10502" width="13.85546875" style="468" customWidth="1"/>
    <col min="10503" max="10503" width="13.28515625" style="468" customWidth="1"/>
    <col min="10504" max="10753" width="9.140625" style="468"/>
    <col min="10754" max="10754" width="21" style="468" customWidth="1"/>
    <col min="10755" max="10755" width="28.28515625" style="468" customWidth="1"/>
    <col min="10756" max="10757" width="13.28515625" style="468" customWidth="1"/>
    <col min="10758" max="10758" width="13.85546875" style="468" customWidth="1"/>
    <col min="10759" max="10759" width="13.28515625" style="468" customWidth="1"/>
    <col min="10760" max="11009" width="9.140625" style="468"/>
    <col min="11010" max="11010" width="21" style="468" customWidth="1"/>
    <col min="11011" max="11011" width="28.28515625" style="468" customWidth="1"/>
    <col min="11012" max="11013" width="13.28515625" style="468" customWidth="1"/>
    <col min="11014" max="11014" width="13.85546875" style="468" customWidth="1"/>
    <col min="11015" max="11015" width="13.28515625" style="468" customWidth="1"/>
    <col min="11016" max="11265" width="9.140625" style="468"/>
    <col min="11266" max="11266" width="21" style="468" customWidth="1"/>
    <col min="11267" max="11267" width="28.28515625" style="468" customWidth="1"/>
    <col min="11268" max="11269" width="13.28515625" style="468" customWidth="1"/>
    <col min="11270" max="11270" width="13.85546875" style="468" customWidth="1"/>
    <col min="11271" max="11271" width="13.28515625" style="468" customWidth="1"/>
    <col min="11272" max="11521" width="9.140625" style="468"/>
    <col min="11522" max="11522" width="21" style="468" customWidth="1"/>
    <col min="11523" max="11523" width="28.28515625" style="468" customWidth="1"/>
    <col min="11524" max="11525" width="13.28515625" style="468" customWidth="1"/>
    <col min="11526" max="11526" width="13.85546875" style="468" customWidth="1"/>
    <col min="11527" max="11527" width="13.28515625" style="468" customWidth="1"/>
    <col min="11528" max="11777" width="9.140625" style="468"/>
    <col min="11778" max="11778" width="21" style="468" customWidth="1"/>
    <col min="11779" max="11779" width="28.28515625" style="468" customWidth="1"/>
    <col min="11780" max="11781" width="13.28515625" style="468" customWidth="1"/>
    <col min="11782" max="11782" width="13.85546875" style="468" customWidth="1"/>
    <col min="11783" max="11783" width="13.28515625" style="468" customWidth="1"/>
    <col min="11784" max="12033" width="9.140625" style="468"/>
    <col min="12034" max="12034" width="21" style="468" customWidth="1"/>
    <col min="12035" max="12035" width="28.28515625" style="468" customWidth="1"/>
    <col min="12036" max="12037" width="13.28515625" style="468" customWidth="1"/>
    <col min="12038" max="12038" width="13.85546875" style="468" customWidth="1"/>
    <col min="12039" max="12039" width="13.28515625" style="468" customWidth="1"/>
    <col min="12040" max="12289" width="9.140625" style="468"/>
    <col min="12290" max="12290" width="21" style="468" customWidth="1"/>
    <col min="12291" max="12291" width="28.28515625" style="468" customWidth="1"/>
    <col min="12292" max="12293" width="13.28515625" style="468" customWidth="1"/>
    <col min="12294" max="12294" width="13.85546875" style="468" customWidth="1"/>
    <col min="12295" max="12295" width="13.28515625" style="468" customWidth="1"/>
    <col min="12296" max="12545" width="9.140625" style="468"/>
    <col min="12546" max="12546" width="21" style="468" customWidth="1"/>
    <col min="12547" max="12547" width="28.28515625" style="468" customWidth="1"/>
    <col min="12548" max="12549" width="13.28515625" style="468" customWidth="1"/>
    <col min="12550" max="12550" width="13.85546875" style="468" customWidth="1"/>
    <col min="12551" max="12551" width="13.28515625" style="468" customWidth="1"/>
    <col min="12552" max="12801" width="9.140625" style="468"/>
    <col min="12802" max="12802" width="21" style="468" customWidth="1"/>
    <col min="12803" max="12803" width="28.28515625" style="468" customWidth="1"/>
    <col min="12804" max="12805" width="13.28515625" style="468" customWidth="1"/>
    <col min="12806" max="12806" width="13.85546875" style="468" customWidth="1"/>
    <col min="12807" max="12807" width="13.28515625" style="468" customWidth="1"/>
    <col min="12808" max="13057" width="9.140625" style="468"/>
    <col min="13058" max="13058" width="21" style="468" customWidth="1"/>
    <col min="13059" max="13059" width="28.28515625" style="468" customWidth="1"/>
    <col min="13060" max="13061" width="13.28515625" style="468" customWidth="1"/>
    <col min="13062" max="13062" width="13.85546875" style="468" customWidth="1"/>
    <col min="13063" max="13063" width="13.28515625" style="468" customWidth="1"/>
    <col min="13064" max="13313" width="9.140625" style="468"/>
    <col min="13314" max="13314" width="21" style="468" customWidth="1"/>
    <col min="13315" max="13315" width="28.28515625" style="468" customWidth="1"/>
    <col min="13316" max="13317" width="13.28515625" style="468" customWidth="1"/>
    <col min="13318" max="13318" width="13.85546875" style="468" customWidth="1"/>
    <col min="13319" max="13319" width="13.28515625" style="468" customWidth="1"/>
    <col min="13320" max="13569" width="9.140625" style="468"/>
    <col min="13570" max="13570" width="21" style="468" customWidth="1"/>
    <col min="13571" max="13571" width="28.28515625" style="468" customWidth="1"/>
    <col min="13572" max="13573" width="13.28515625" style="468" customWidth="1"/>
    <col min="13574" max="13574" width="13.85546875" style="468" customWidth="1"/>
    <col min="13575" max="13575" width="13.28515625" style="468" customWidth="1"/>
    <col min="13576" max="13825" width="9.140625" style="468"/>
    <col min="13826" max="13826" width="21" style="468" customWidth="1"/>
    <col min="13827" max="13827" width="28.28515625" style="468" customWidth="1"/>
    <col min="13828" max="13829" width="13.28515625" style="468" customWidth="1"/>
    <col min="13830" max="13830" width="13.85546875" style="468" customWidth="1"/>
    <col min="13831" max="13831" width="13.28515625" style="468" customWidth="1"/>
    <col min="13832" max="14081" width="9.140625" style="468"/>
    <col min="14082" max="14082" width="21" style="468" customWidth="1"/>
    <col min="14083" max="14083" width="28.28515625" style="468" customWidth="1"/>
    <col min="14084" max="14085" width="13.28515625" style="468" customWidth="1"/>
    <col min="14086" max="14086" width="13.85546875" style="468" customWidth="1"/>
    <col min="14087" max="14087" width="13.28515625" style="468" customWidth="1"/>
    <col min="14088" max="14337" width="9.140625" style="468"/>
    <col min="14338" max="14338" width="21" style="468" customWidth="1"/>
    <col min="14339" max="14339" width="28.28515625" style="468" customWidth="1"/>
    <col min="14340" max="14341" width="13.28515625" style="468" customWidth="1"/>
    <col min="14342" max="14342" width="13.85546875" style="468" customWidth="1"/>
    <col min="14343" max="14343" width="13.28515625" style="468" customWidth="1"/>
    <col min="14344" max="14593" width="9.140625" style="468"/>
    <col min="14594" max="14594" width="21" style="468" customWidth="1"/>
    <col min="14595" max="14595" width="28.28515625" style="468" customWidth="1"/>
    <col min="14596" max="14597" width="13.28515625" style="468" customWidth="1"/>
    <col min="14598" max="14598" width="13.85546875" style="468" customWidth="1"/>
    <col min="14599" max="14599" width="13.28515625" style="468" customWidth="1"/>
    <col min="14600" max="14849" width="9.140625" style="468"/>
    <col min="14850" max="14850" width="21" style="468" customWidth="1"/>
    <col min="14851" max="14851" width="28.28515625" style="468" customWidth="1"/>
    <col min="14852" max="14853" width="13.28515625" style="468" customWidth="1"/>
    <col min="14854" max="14854" width="13.85546875" style="468" customWidth="1"/>
    <col min="14855" max="14855" width="13.28515625" style="468" customWidth="1"/>
    <col min="14856" max="15105" width="9.140625" style="468"/>
    <col min="15106" max="15106" width="21" style="468" customWidth="1"/>
    <col min="15107" max="15107" width="28.28515625" style="468" customWidth="1"/>
    <col min="15108" max="15109" width="13.28515625" style="468" customWidth="1"/>
    <col min="15110" max="15110" width="13.85546875" style="468" customWidth="1"/>
    <col min="15111" max="15111" width="13.28515625" style="468" customWidth="1"/>
    <col min="15112" max="15361" width="9.140625" style="468"/>
    <col min="15362" max="15362" width="21" style="468" customWidth="1"/>
    <col min="15363" max="15363" width="28.28515625" style="468" customWidth="1"/>
    <col min="15364" max="15365" width="13.28515625" style="468" customWidth="1"/>
    <col min="15366" max="15366" width="13.85546875" style="468" customWidth="1"/>
    <col min="15367" max="15367" width="13.28515625" style="468" customWidth="1"/>
    <col min="15368" max="15617" width="9.140625" style="468"/>
    <col min="15618" max="15618" width="21" style="468" customWidth="1"/>
    <col min="15619" max="15619" width="28.28515625" style="468" customWidth="1"/>
    <col min="15620" max="15621" width="13.28515625" style="468" customWidth="1"/>
    <col min="15622" max="15622" width="13.85546875" style="468" customWidth="1"/>
    <col min="15623" max="15623" width="13.28515625" style="468" customWidth="1"/>
    <col min="15624" max="15873" width="9.140625" style="468"/>
    <col min="15874" max="15874" width="21" style="468" customWidth="1"/>
    <col min="15875" max="15875" width="28.28515625" style="468" customWidth="1"/>
    <col min="15876" max="15877" width="13.28515625" style="468" customWidth="1"/>
    <col min="15878" max="15878" width="13.85546875" style="468" customWidth="1"/>
    <col min="15879" max="15879" width="13.28515625" style="468" customWidth="1"/>
    <col min="15880" max="16129" width="9.140625" style="468"/>
    <col min="16130" max="16130" width="21" style="468" customWidth="1"/>
    <col min="16131" max="16131" width="28.28515625" style="468" customWidth="1"/>
    <col min="16132" max="16133" width="13.28515625" style="468" customWidth="1"/>
    <col min="16134" max="16134" width="13.85546875" style="468" customWidth="1"/>
    <col min="16135" max="16135" width="13.28515625" style="468" customWidth="1"/>
    <col min="16136" max="16384" width="9.140625" style="468"/>
  </cols>
  <sheetData>
    <row r="1" spans="1:8" ht="54" customHeight="1">
      <c r="A1" s="2492" t="s">
        <v>2115</v>
      </c>
      <c r="B1" s="2492"/>
      <c r="C1" s="2492"/>
      <c r="D1" s="2492"/>
      <c r="E1" s="2492"/>
      <c r="F1" s="2492"/>
      <c r="G1" s="2492"/>
      <c r="H1" s="415"/>
    </row>
    <row r="2" spans="1:8" ht="21" thickBot="1">
      <c r="A2" s="1096"/>
      <c r="B2" s="1097"/>
      <c r="C2" s="1098"/>
      <c r="D2" s="1098"/>
      <c r="E2" s="1098"/>
      <c r="F2" s="1098"/>
      <c r="G2" s="1098"/>
      <c r="H2" s="415"/>
    </row>
    <row r="3" spans="1:8" ht="80.25" customHeight="1">
      <c r="A3" s="2502" t="s">
        <v>1302</v>
      </c>
      <c r="B3" s="2504" t="s">
        <v>2116</v>
      </c>
      <c r="C3" s="2506" t="s">
        <v>2117</v>
      </c>
      <c r="D3" s="2507"/>
      <c r="E3" s="2508" t="s">
        <v>2118</v>
      </c>
      <c r="F3" s="2509"/>
      <c r="G3" s="2510" t="s">
        <v>2119</v>
      </c>
      <c r="H3" s="415"/>
    </row>
    <row r="4" spans="1:8" s="469" customFormat="1" ht="22.15" customHeight="1" thickBot="1">
      <c r="A4" s="2503"/>
      <c r="B4" s="2505"/>
      <c r="C4" s="1099" t="s">
        <v>2120</v>
      </c>
      <c r="D4" s="1099" t="s">
        <v>2121</v>
      </c>
      <c r="E4" s="1100" t="s">
        <v>2120</v>
      </c>
      <c r="F4" s="1101" t="s">
        <v>2121</v>
      </c>
      <c r="G4" s="2511"/>
      <c r="H4" s="415"/>
    </row>
    <row r="5" spans="1:8" ht="24" customHeight="1" thickBot="1">
      <c r="A5" s="1102" t="s">
        <v>2122</v>
      </c>
      <c r="B5" s="2493" t="s">
        <v>2123</v>
      </c>
      <c r="C5" s="1103">
        <v>631200</v>
      </c>
      <c r="D5" s="1104">
        <f>C5*6.612</f>
        <v>4173494.4</v>
      </c>
      <c r="E5" s="1105">
        <f>C5/0.85</f>
        <v>742588.23529411771</v>
      </c>
      <c r="F5" s="1106">
        <f>E5*6.44</f>
        <v>4782268.2352941185</v>
      </c>
      <c r="G5" s="1107">
        <f>D5-F5</f>
        <v>-608773.83529411862</v>
      </c>
      <c r="H5" s="415"/>
    </row>
    <row r="6" spans="1:8" ht="158.25" customHeight="1" thickBot="1">
      <c r="A6" s="1528" t="s">
        <v>2124</v>
      </c>
      <c r="B6" s="2494"/>
      <c r="C6" s="1108">
        <v>542020</v>
      </c>
      <c r="D6" s="1104">
        <f>C6*6.612</f>
        <v>3583836.24</v>
      </c>
      <c r="E6" s="1109">
        <f>C6/0.85</f>
        <v>637670.5882352941</v>
      </c>
      <c r="F6" s="1110">
        <f>E6*6.44</f>
        <v>4106598.5882352944</v>
      </c>
      <c r="G6" s="1107">
        <f>D6-F6</f>
        <v>-522762.34823529422</v>
      </c>
      <c r="H6" s="415"/>
    </row>
    <row r="7" spans="1:8" ht="18" customHeight="1" thickTop="1" thickBot="1">
      <c r="A7" s="2495" t="s">
        <v>168</v>
      </c>
      <c r="B7" s="2496"/>
      <c r="C7" s="1111">
        <f>SUM(C5:C6)</f>
        <v>1173220</v>
      </c>
      <c r="D7" s="1112">
        <f>SUM(D5:D6)</f>
        <v>7757330.6400000006</v>
      </c>
      <c r="E7" s="1113">
        <f>SUM(E5:E6)</f>
        <v>1380258.8235294118</v>
      </c>
      <c r="F7" s="1114">
        <f>SUM(F5:F6)</f>
        <v>8888866.823529413</v>
      </c>
      <c r="G7" s="1115">
        <f>SUM(G5:G6)</f>
        <v>-1131536.1835294128</v>
      </c>
      <c r="H7" s="415"/>
    </row>
    <row r="8" spans="1:8" ht="57" customHeight="1">
      <c r="A8" s="1116"/>
      <c r="B8" s="1116"/>
      <c r="C8" s="1117"/>
      <c r="D8" s="1118"/>
      <c r="E8" s="2497" t="s">
        <v>2125</v>
      </c>
      <c r="F8" s="2497"/>
      <c r="G8" s="1119"/>
      <c r="H8" s="415"/>
    </row>
    <row r="9" spans="1:8" ht="57" customHeight="1" thickBot="1">
      <c r="A9" s="1120"/>
      <c r="B9" s="1121"/>
      <c r="C9" s="1122"/>
      <c r="D9" s="1123"/>
      <c r="E9" s="2498" t="s">
        <v>2126</v>
      </c>
      <c r="F9" s="2498"/>
      <c r="G9" s="1123"/>
      <c r="H9" s="415"/>
    </row>
    <row r="10" spans="1:8" ht="27" customHeight="1" thickBot="1">
      <c r="A10" s="2499" t="s">
        <v>2127</v>
      </c>
      <c r="B10" s="2500"/>
      <c r="C10" s="2500"/>
      <c r="D10" s="2500"/>
      <c r="E10" s="2501"/>
      <c r="F10" s="1124" t="s">
        <v>2128</v>
      </c>
      <c r="G10" s="2516" t="s">
        <v>2129</v>
      </c>
      <c r="H10" s="415"/>
    </row>
    <row r="11" spans="1:8" ht="51.75" customHeight="1" thickTop="1" thickBot="1">
      <c r="A11" s="2519" t="s">
        <v>1501</v>
      </c>
      <c r="B11" s="1125">
        <v>82852</v>
      </c>
      <c r="C11" s="2522" t="s">
        <v>1533</v>
      </c>
      <c r="D11" s="2523"/>
      <c r="E11" s="1125">
        <v>98758</v>
      </c>
      <c r="F11" s="1126">
        <f t="shared" ref="F11:F12" si="0">E11/B11-1</f>
        <v>0.19198088157195969</v>
      </c>
      <c r="G11" s="2517"/>
      <c r="H11" s="415"/>
    </row>
    <row r="12" spans="1:8" ht="38.25" customHeight="1" thickTop="1" thickBot="1">
      <c r="A12" s="2520"/>
      <c r="B12" s="1127">
        <v>2847933</v>
      </c>
      <c r="C12" s="2524"/>
      <c r="D12" s="2525"/>
      <c r="E12" s="1127">
        <v>3405886</v>
      </c>
      <c r="F12" s="1126">
        <f t="shared" si="0"/>
        <v>0.19591507244025763</v>
      </c>
      <c r="G12" s="2517"/>
      <c r="H12" s="415"/>
    </row>
    <row r="13" spans="1:8" ht="31.9" customHeight="1" thickBot="1">
      <c r="A13" s="2521"/>
      <c r="B13" s="1128">
        <v>23133165</v>
      </c>
      <c r="C13" s="2526"/>
      <c r="D13" s="2527"/>
      <c r="E13" s="1128">
        <v>24218975</v>
      </c>
      <c r="F13" s="1126">
        <f>E13/B13-1</f>
        <v>4.6937373247456726E-2</v>
      </c>
      <c r="G13" s="2518"/>
      <c r="H13" s="415"/>
    </row>
    <row r="14" spans="1:8" ht="76.5" customHeight="1" thickTop="1" thickBot="1">
      <c r="A14" s="2528" t="s">
        <v>1330</v>
      </c>
      <c r="B14" s="2530" t="s">
        <v>2130</v>
      </c>
      <c r="C14" s="2532" t="s">
        <v>2131</v>
      </c>
      <c r="D14" s="2533"/>
      <c r="E14" s="2534"/>
      <c r="F14" s="1129">
        <f>5.538-5.405</f>
        <v>0.13300000000000001</v>
      </c>
      <c r="G14" s="1130">
        <f>F14*E12</f>
        <v>452982.83800000005</v>
      </c>
      <c r="H14" s="415"/>
    </row>
    <row r="15" spans="1:8" ht="80.45" customHeight="1" thickBot="1">
      <c r="A15" s="2529"/>
      <c r="B15" s="2531"/>
      <c r="C15" s="2535" t="s">
        <v>2132</v>
      </c>
      <c r="D15" s="2536"/>
      <c r="E15" s="2537"/>
      <c r="F15" s="1129">
        <f>1.576-2.598</f>
        <v>-1.0219999999999998</v>
      </c>
      <c r="G15" s="1131">
        <f>F15*E12</f>
        <v>-3480815.4919999992</v>
      </c>
      <c r="H15" s="415"/>
    </row>
    <row r="16" spans="1:8" ht="40.15" customHeight="1" thickBot="1">
      <c r="A16" s="2513" t="s">
        <v>2111</v>
      </c>
      <c r="B16" s="2514"/>
      <c r="C16" s="2514"/>
      <c r="D16" s="2514"/>
      <c r="E16" s="2514"/>
      <c r="F16" s="2515"/>
      <c r="G16" s="1115">
        <f>SUM(G14:G15)</f>
        <v>-3027832.6539999992</v>
      </c>
      <c r="H16" s="1132"/>
    </row>
    <row r="17" spans="1:8" ht="33" customHeight="1" thickBot="1">
      <c r="A17" s="2512"/>
      <c r="B17" s="2512"/>
      <c r="C17" s="2512"/>
      <c r="D17" s="2512"/>
      <c r="E17" s="2512"/>
      <c r="F17" s="2512"/>
      <c r="G17" s="1133"/>
      <c r="H17" s="415"/>
    </row>
    <row r="18" spans="1:8" ht="72.599999999999994" customHeight="1" thickBot="1">
      <c r="A18" s="2513" t="s">
        <v>2133</v>
      </c>
      <c r="B18" s="2514"/>
      <c r="C18" s="2514"/>
      <c r="D18" s="2514"/>
      <c r="E18" s="2514"/>
      <c r="F18" s="2515"/>
      <c r="G18" s="1134">
        <f>G7+G16</f>
        <v>-4159368.837529412</v>
      </c>
      <c r="H18" s="415"/>
    </row>
    <row r="19" spans="1:8" ht="30.75" customHeight="1">
      <c r="A19" s="1135" t="s">
        <v>2134</v>
      </c>
      <c r="B19" s="1136"/>
      <c r="C19" s="1137"/>
      <c r="D19" s="1137"/>
      <c r="E19" s="1137"/>
      <c r="F19" s="415"/>
      <c r="G19" s="1138"/>
      <c r="H19" s="415"/>
    </row>
    <row r="20" spans="1:8" ht="18.600000000000001" customHeight="1">
      <c r="A20" s="1135" t="s">
        <v>2135</v>
      </c>
      <c r="B20" s="415"/>
      <c r="C20" s="415"/>
      <c r="D20" s="415"/>
      <c r="E20" s="415"/>
      <c r="F20" s="415"/>
      <c r="G20" s="415"/>
      <c r="H20" s="415"/>
    </row>
    <row r="21" spans="1:8" ht="15.75">
      <c r="A21" s="425"/>
      <c r="B21" s="415"/>
      <c r="C21" s="415"/>
      <c r="D21" s="415"/>
      <c r="E21" s="415"/>
      <c r="F21" s="415"/>
      <c r="G21" s="1139"/>
      <c r="H21" s="415"/>
    </row>
    <row r="22" spans="1:8" ht="15.75">
      <c r="A22" s="425"/>
      <c r="B22" s="415"/>
      <c r="C22" s="415"/>
      <c r="D22" s="415"/>
      <c r="E22" s="415"/>
      <c r="F22" s="415"/>
      <c r="G22" s="415"/>
      <c r="H22" s="415"/>
    </row>
    <row r="23" spans="1:8" ht="15.75">
      <c r="A23" s="425"/>
      <c r="B23" s="415"/>
      <c r="C23" s="415"/>
      <c r="D23" s="415"/>
      <c r="E23" s="415"/>
      <c r="F23" s="415"/>
      <c r="G23" s="415"/>
      <c r="H23" s="415"/>
    </row>
    <row r="24" spans="1:8" ht="15" customHeight="1">
      <c r="A24" s="425"/>
      <c r="B24" s="415"/>
      <c r="C24" s="415"/>
      <c r="D24" s="415"/>
      <c r="E24" s="415"/>
      <c r="F24" s="415"/>
      <c r="G24" s="415"/>
      <c r="H24" s="415"/>
    </row>
    <row r="25" spans="1:8" ht="15.75">
      <c r="A25" s="425"/>
      <c r="B25" s="415"/>
      <c r="C25" s="415"/>
      <c r="D25" s="415"/>
      <c r="E25" s="415"/>
      <c r="F25" s="415"/>
      <c r="G25" s="415"/>
      <c r="H25" s="415"/>
    </row>
    <row r="26" spans="1:8" ht="15.75">
      <c r="A26" s="425"/>
      <c r="B26" s="415"/>
      <c r="C26" s="415"/>
      <c r="D26" s="415"/>
      <c r="E26" s="415"/>
      <c r="F26" s="415"/>
      <c r="G26" s="415"/>
      <c r="H26" s="415"/>
    </row>
    <row r="27" spans="1:8" ht="15.75">
      <c r="A27" s="425"/>
      <c r="B27" s="425"/>
      <c r="C27" s="425"/>
      <c r="D27" s="425"/>
      <c r="E27" s="425"/>
      <c r="F27" s="425"/>
      <c r="G27" s="425"/>
      <c r="H27" s="415"/>
    </row>
    <row r="28" spans="1:8">
      <c r="A28" s="1098"/>
      <c r="B28" s="1098"/>
      <c r="C28" s="1098"/>
      <c r="D28" s="1098"/>
      <c r="E28" s="1098"/>
      <c r="F28" s="1098"/>
      <c r="G28" s="1098"/>
      <c r="H28" s="415"/>
    </row>
    <row r="29" spans="1:8">
      <c r="A29" s="1098"/>
      <c r="B29" s="1098"/>
      <c r="C29" s="1098"/>
      <c r="D29" s="1098"/>
      <c r="E29" s="1098"/>
      <c r="F29" s="1098"/>
      <c r="G29" s="415"/>
      <c r="H29" s="415"/>
    </row>
    <row r="30" spans="1:8">
      <c r="A30" s="1098"/>
      <c r="B30" s="1098"/>
      <c r="C30" s="1098"/>
      <c r="D30" s="1098"/>
      <c r="E30" s="1098"/>
      <c r="F30" s="1098"/>
      <c r="G30" s="415"/>
      <c r="H30" s="415"/>
    </row>
    <row r="31" spans="1:8">
      <c r="A31" s="1098"/>
      <c r="B31" s="1098"/>
      <c r="C31" s="1098"/>
      <c r="D31" s="1098"/>
      <c r="E31" s="1098"/>
      <c r="F31" s="1098"/>
      <c r="G31" s="415"/>
      <c r="H31" s="415"/>
    </row>
    <row r="32" spans="1:8">
      <c r="A32" s="1098"/>
      <c r="B32" s="1098"/>
      <c r="C32" s="1098"/>
      <c r="D32" s="1098"/>
      <c r="E32" s="1098"/>
      <c r="F32" s="1098"/>
      <c r="G32" s="415"/>
      <c r="H32" s="415"/>
    </row>
    <row r="33" spans="1:8">
      <c r="A33" s="1098"/>
      <c r="B33" s="1098"/>
      <c r="C33" s="1098"/>
      <c r="D33" s="1098"/>
      <c r="E33" s="1098"/>
      <c r="F33" s="1098"/>
      <c r="G33" s="415"/>
      <c r="H33" s="415"/>
    </row>
    <row r="34" spans="1:8">
      <c r="A34" s="1098"/>
      <c r="B34" s="1098"/>
      <c r="C34" s="1098"/>
      <c r="D34" s="1098"/>
      <c r="E34" s="1098"/>
      <c r="F34" s="1098"/>
      <c r="G34" s="415"/>
      <c r="H34" s="415"/>
    </row>
    <row r="35" spans="1:8">
      <c r="A35" s="1098"/>
      <c r="B35" s="1098"/>
      <c r="C35" s="1098"/>
      <c r="D35" s="1098"/>
      <c r="E35" s="1098"/>
      <c r="F35" s="1098"/>
      <c r="G35" s="415"/>
      <c r="H35" s="415"/>
    </row>
    <row r="36" spans="1:8">
      <c r="A36" s="1098"/>
      <c r="B36" s="1098"/>
      <c r="C36" s="1098"/>
      <c r="D36" s="1098"/>
      <c r="E36" s="1098"/>
      <c r="F36" s="1098"/>
      <c r="G36" s="415"/>
      <c r="H36" s="415"/>
    </row>
    <row r="37" spans="1:8">
      <c r="A37" s="1098"/>
      <c r="B37" s="1098"/>
      <c r="C37" s="1098"/>
      <c r="D37" s="1098"/>
      <c r="E37" s="1098"/>
      <c r="F37" s="1098"/>
      <c r="G37" s="415"/>
      <c r="H37" s="415"/>
    </row>
    <row r="38" spans="1:8">
      <c r="B38" s="467"/>
      <c r="C38" s="467"/>
      <c r="D38" s="467"/>
      <c r="E38" s="467"/>
      <c r="F38" s="467"/>
    </row>
    <row r="39" spans="1:8">
      <c r="B39" s="467"/>
      <c r="C39" s="467"/>
      <c r="D39" s="467"/>
      <c r="E39" s="467"/>
      <c r="F39" s="467"/>
    </row>
    <row r="40" spans="1:8">
      <c r="B40" s="467"/>
      <c r="C40" s="467"/>
      <c r="D40" s="467"/>
      <c r="E40" s="467"/>
      <c r="F40" s="467"/>
    </row>
    <row r="41" spans="1:8">
      <c r="B41" s="467"/>
      <c r="C41" s="467"/>
      <c r="D41" s="467"/>
      <c r="E41" s="467"/>
      <c r="F41" s="467"/>
    </row>
    <row r="42" spans="1:8">
      <c r="B42" s="467"/>
      <c r="C42" s="467"/>
      <c r="D42" s="467"/>
      <c r="E42" s="467"/>
      <c r="F42" s="467"/>
    </row>
    <row r="43" spans="1:8">
      <c r="B43" s="467"/>
      <c r="C43" s="467"/>
      <c r="D43" s="467"/>
      <c r="E43" s="467"/>
      <c r="F43" s="467"/>
    </row>
    <row r="44" spans="1:8">
      <c r="B44" s="467"/>
      <c r="C44" s="467"/>
      <c r="D44" s="467"/>
      <c r="E44" s="467"/>
      <c r="F44" s="467"/>
    </row>
    <row r="45" spans="1:8">
      <c r="B45" s="467"/>
      <c r="C45" s="467"/>
      <c r="D45" s="467"/>
      <c r="E45" s="467"/>
      <c r="F45" s="467"/>
    </row>
    <row r="46" spans="1:8">
      <c r="B46" s="467"/>
      <c r="C46" s="467"/>
      <c r="D46" s="467"/>
      <c r="E46" s="467"/>
      <c r="F46" s="467"/>
    </row>
    <row r="47" spans="1:8">
      <c r="B47" s="467"/>
      <c r="C47" s="467"/>
      <c r="D47" s="467"/>
      <c r="E47" s="467"/>
      <c r="F47" s="467"/>
    </row>
    <row r="48" spans="1:8">
      <c r="B48" s="467"/>
      <c r="C48" s="467"/>
      <c r="D48" s="467"/>
      <c r="E48" s="467"/>
      <c r="F48" s="467"/>
    </row>
    <row r="49" spans="2:6">
      <c r="B49" s="467"/>
      <c r="C49" s="467"/>
      <c r="D49" s="467"/>
      <c r="E49" s="467"/>
      <c r="F49" s="467"/>
    </row>
    <row r="50" spans="2:6">
      <c r="B50" s="467"/>
      <c r="C50" s="467"/>
      <c r="D50" s="467"/>
      <c r="E50" s="467"/>
      <c r="F50" s="467"/>
    </row>
    <row r="51" spans="2:6">
      <c r="B51" s="467"/>
      <c r="C51" s="467"/>
      <c r="D51" s="467"/>
      <c r="E51" s="467"/>
      <c r="F51" s="467"/>
    </row>
    <row r="52" spans="2:6">
      <c r="B52" s="467"/>
      <c r="C52" s="467"/>
      <c r="D52" s="467"/>
      <c r="E52" s="467"/>
      <c r="F52" s="467"/>
    </row>
    <row r="53" spans="2:6">
      <c r="B53" s="467"/>
      <c r="C53" s="467"/>
      <c r="D53" s="467"/>
      <c r="E53" s="467"/>
      <c r="F53" s="467"/>
    </row>
    <row r="54" spans="2:6">
      <c r="B54" s="467"/>
      <c r="C54" s="467"/>
      <c r="D54" s="467"/>
      <c r="E54" s="467"/>
      <c r="F54" s="467"/>
    </row>
    <row r="55" spans="2:6">
      <c r="B55" s="467"/>
      <c r="C55" s="467"/>
      <c r="D55" s="467"/>
      <c r="E55" s="467"/>
      <c r="F55" s="467"/>
    </row>
    <row r="56" spans="2:6">
      <c r="B56" s="467"/>
      <c r="C56" s="467"/>
      <c r="D56" s="467"/>
      <c r="E56" s="467"/>
      <c r="F56" s="467"/>
    </row>
  </sheetData>
  <mergeCells count="21">
    <mergeCell ref="A17:F17"/>
    <mergeCell ref="A18:F18"/>
    <mergeCell ref="G10:G13"/>
    <mergeCell ref="A11:A13"/>
    <mergeCell ref="C11:D13"/>
    <mergeCell ref="A14:A15"/>
    <mergeCell ref="B14:B15"/>
    <mergeCell ref="C14:E14"/>
    <mergeCell ref="C15:E15"/>
    <mergeCell ref="A16:F16"/>
    <mergeCell ref="A10:E10"/>
    <mergeCell ref="A3:A4"/>
    <mergeCell ref="B3:B4"/>
    <mergeCell ref="C3:D3"/>
    <mergeCell ref="E3:F3"/>
    <mergeCell ref="A1:G1"/>
    <mergeCell ref="B5:B6"/>
    <mergeCell ref="A7:B7"/>
    <mergeCell ref="E8:F8"/>
    <mergeCell ref="E9:F9"/>
    <mergeCell ref="G3:G4"/>
  </mergeCells>
  <printOptions headings="1"/>
  <pageMargins left="0.31496062992125984" right="0.15748031496062992" top="0.62992125984251968" bottom="1.2204724409448819" header="0.15748031496062992" footer="0.51181102362204722"/>
  <pageSetup paperSize="9" scale="41" fitToHeight="0" orientation="portrait" r:id="rId1"/>
  <headerFooter alignWithMargins="0">
    <oddHeader>&amp;R&amp;A melléklet a /2026.(V.28.) önkormányzati rendelethez/ &amp;P.oldal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N38"/>
  <sheetViews>
    <sheetView zoomScaleNormal="100" zoomScaleSheetLayoutView="51" workbookViewId="0">
      <selection activeCell="B1" sqref="B1:I1"/>
    </sheetView>
  </sheetViews>
  <sheetFormatPr defaultRowHeight="12.75"/>
  <cols>
    <col min="1" max="1" width="1.85546875" customWidth="1"/>
    <col min="2" max="2" width="19.28515625" customWidth="1"/>
    <col min="3" max="3" width="17.28515625" customWidth="1"/>
    <col min="4" max="4" width="10.28515625" customWidth="1"/>
    <col min="5" max="5" width="10.42578125" customWidth="1"/>
    <col min="6" max="6" width="11.28515625" customWidth="1"/>
    <col min="7" max="7" width="11" customWidth="1"/>
    <col min="8" max="8" width="13.28515625" customWidth="1"/>
    <col min="9" max="9" width="17.140625" customWidth="1"/>
    <col min="10" max="10" width="13.140625" style="496" customWidth="1"/>
    <col min="11" max="11" width="12" style="496" bestFit="1" customWidth="1"/>
    <col min="12" max="12" width="10.5703125" bestFit="1" customWidth="1"/>
    <col min="14" max="14" width="12.5703125" bestFit="1" customWidth="1"/>
  </cols>
  <sheetData>
    <row r="1" spans="2:13" ht="20.25">
      <c r="B1" s="2538" t="s">
        <v>2090</v>
      </c>
      <c r="C1" s="2538"/>
      <c r="D1" s="2538"/>
      <c r="E1" s="2538"/>
      <c r="F1" s="2538"/>
      <c r="G1" s="2538"/>
      <c r="H1" s="2538"/>
      <c r="I1" s="2538"/>
      <c r="M1" s="1037"/>
    </row>
    <row r="2" spans="2:13" ht="9.6" customHeight="1" thickBot="1">
      <c r="I2" s="60"/>
    </row>
    <row r="3" spans="2:13" ht="40.5" customHeight="1">
      <c r="B3" s="2111" t="s">
        <v>1302</v>
      </c>
      <c r="C3" s="2568" t="s">
        <v>1331</v>
      </c>
      <c r="D3" s="2568" t="s">
        <v>1303</v>
      </c>
      <c r="E3" s="2571" t="s">
        <v>2091</v>
      </c>
      <c r="F3" s="2571" t="s">
        <v>2092</v>
      </c>
      <c r="G3" s="2565" t="s">
        <v>2093</v>
      </c>
      <c r="H3" s="2565" t="s">
        <v>2094</v>
      </c>
      <c r="I3" s="2547" t="s">
        <v>2095</v>
      </c>
      <c r="M3" s="1037"/>
    </row>
    <row r="4" spans="2:13" ht="36" customHeight="1" thickBot="1">
      <c r="B4" s="2567"/>
      <c r="C4" s="2569"/>
      <c r="D4" s="2570"/>
      <c r="E4" s="2572"/>
      <c r="F4" s="2572"/>
      <c r="G4" s="2566"/>
      <c r="H4" s="2566"/>
      <c r="I4" s="2548"/>
      <c r="J4" s="496">
        <v>5</v>
      </c>
      <c r="K4" s="496">
        <v>6</v>
      </c>
      <c r="L4" s="1037"/>
    </row>
    <row r="5" spans="2:13" ht="24" customHeight="1" thickTop="1" thickBot="1">
      <c r="B5" s="2549" t="s">
        <v>2096</v>
      </c>
      <c r="C5" s="2550"/>
      <c r="D5" s="2550"/>
      <c r="E5" s="2550"/>
      <c r="F5" s="2550"/>
      <c r="G5" s="2550"/>
      <c r="H5" s="2550"/>
      <c r="I5" s="2551"/>
      <c r="J5" s="1038"/>
      <c r="L5" s="1037"/>
    </row>
    <row r="6" spans="2:13" ht="30.75" thickTop="1">
      <c r="B6" s="1039" t="s">
        <v>1332</v>
      </c>
      <c r="C6" s="2552" t="s">
        <v>1333</v>
      </c>
      <c r="D6" s="1040">
        <v>5.8</v>
      </c>
      <c r="E6" s="1041">
        <v>4687</v>
      </c>
      <c r="F6" s="1041">
        <v>4436</v>
      </c>
      <c r="G6" s="1042">
        <f>4436/(7540+4436)</f>
        <v>0.37040748162992654</v>
      </c>
      <c r="H6" s="1043">
        <f>1+-E6/F6</f>
        <v>-5.6582506762849372E-2</v>
      </c>
      <c r="I6" s="1044">
        <v>-356851</v>
      </c>
      <c r="J6" s="496">
        <v>6095</v>
      </c>
      <c r="K6" s="496">
        <v>6000</v>
      </c>
      <c r="L6" s="1045"/>
      <c r="M6" s="1045"/>
    </row>
    <row r="7" spans="2:13" ht="45">
      <c r="B7" s="485" t="s">
        <v>1595</v>
      </c>
      <c r="C7" s="2553"/>
      <c r="D7" s="1046">
        <f>3.2+10</f>
        <v>13.2</v>
      </c>
      <c r="E7" s="1047">
        <v>10963</v>
      </c>
      <c r="F7" s="1047">
        <v>7905</v>
      </c>
      <c r="G7" s="1048">
        <f>7905/(5319+7905)</f>
        <v>0.59777676950998182</v>
      </c>
      <c r="H7" s="1049">
        <f>1+-E7/F7</f>
        <v>-0.38684376976597101</v>
      </c>
      <c r="I7" s="1050">
        <v>-635944</v>
      </c>
      <c r="J7" s="496">
        <v>10846</v>
      </c>
      <c r="L7" s="1045"/>
      <c r="M7" s="1045"/>
    </row>
    <row r="8" spans="2:13" ht="45">
      <c r="B8" s="485" t="s">
        <v>1485</v>
      </c>
      <c r="C8" s="2553"/>
      <c r="D8" s="1046">
        <v>7</v>
      </c>
      <c r="E8" s="1047">
        <v>8824</v>
      </c>
      <c r="F8" s="1047">
        <v>8884</v>
      </c>
      <c r="G8" s="1048">
        <f>8884/(7206+8884)</f>
        <v>0.55214418893722805</v>
      </c>
      <c r="H8" s="1049">
        <f t="shared" ref="H8:H16" si="0">1+-E8/F8</f>
        <v>6.7537145429986678E-3</v>
      </c>
      <c r="I8" s="1050">
        <v>-714758</v>
      </c>
      <c r="L8" s="1045"/>
      <c r="M8" s="1045"/>
    </row>
    <row r="9" spans="2:13" ht="45">
      <c r="B9" s="485" t="s">
        <v>1334</v>
      </c>
      <c r="C9" s="2553"/>
      <c r="D9" s="1046">
        <v>40</v>
      </c>
      <c r="E9" s="1047">
        <v>39046</v>
      </c>
      <c r="F9" s="1047">
        <v>48061</v>
      </c>
      <c r="G9" s="1048">
        <f>24724/(5218+24724)</f>
        <v>0.82572974417206602</v>
      </c>
      <c r="H9" s="1049">
        <f t="shared" si="0"/>
        <v>0.18757412455005096</v>
      </c>
      <c r="I9" s="1050">
        <v>-2100829</v>
      </c>
      <c r="J9" s="496">
        <v>70000</v>
      </c>
      <c r="K9" s="496">
        <v>35428</v>
      </c>
      <c r="L9" s="1045"/>
      <c r="M9" s="1045"/>
    </row>
    <row r="10" spans="2:13" ht="60">
      <c r="B10" s="485" t="s">
        <v>1486</v>
      </c>
      <c r="C10" s="2553"/>
      <c r="D10" s="1046">
        <f>15.9+25.92</f>
        <v>41.82</v>
      </c>
      <c r="E10" s="1047">
        <v>27725</v>
      </c>
      <c r="F10" s="1047">
        <v>27625</v>
      </c>
      <c r="G10" s="1048">
        <f>27725/(44849+27725)</f>
        <v>0.38202386529611154</v>
      </c>
      <c r="H10" s="1049">
        <f>1-E10/F10</f>
        <v>-3.6199095022624306E-3</v>
      </c>
      <c r="I10" s="1050">
        <v>-2347333</v>
      </c>
      <c r="J10" s="496">
        <v>107000</v>
      </c>
      <c r="L10" s="1045"/>
      <c r="M10" s="1045"/>
    </row>
    <row r="11" spans="2:13" ht="48.75">
      <c r="B11" s="485" t="s">
        <v>2097</v>
      </c>
      <c r="C11" s="2553"/>
      <c r="D11" s="1046">
        <v>14.9</v>
      </c>
      <c r="E11" s="1047">
        <v>14753</v>
      </c>
      <c r="F11" s="1047">
        <v>16794</v>
      </c>
      <c r="G11" s="1048">
        <f>16794/(1664+16794)</f>
        <v>0.90984938779932822</v>
      </c>
      <c r="H11" s="1049">
        <f t="shared" si="0"/>
        <v>0.12153149934500418</v>
      </c>
      <c r="I11" s="1050">
        <v>-1351057</v>
      </c>
      <c r="J11" s="496">
        <v>16701</v>
      </c>
      <c r="K11" s="19"/>
      <c r="L11" s="1045"/>
      <c r="M11" s="1045"/>
    </row>
    <row r="12" spans="2:13" ht="30">
      <c r="B12" s="485" t="s">
        <v>2098</v>
      </c>
      <c r="C12" s="2553"/>
      <c r="D12" s="1046">
        <v>7</v>
      </c>
      <c r="E12" s="1047">
        <v>6767</v>
      </c>
      <c r="F12" s="1047">
        <v>7877</v>
      </c>
      <c r="G12" s="1048">
        <f>7000/(8062+7000)</f>
        <v>0.46474571770017264</v>
      </c>
      <c r="H12" s="1049">
        <f t="shared" si="0"/>
        <v>0.14091659261140033</v>
      </c>
      <c r="I12" s="1050">
        <v>-633718</v>
      </c>
      <c r="L12" s="1045"/>
      <c r="M12" s="1045"/>
    </row>
    <row r="13" spans="2:13" ht="60">
      <c r="B13" s="485" t="s">
        <v>1596</v>
      </c>
      <c r="C13" s="2553"/>
      <c r="D13" s="1046">
        <f>35+15</f>
        <v>50</v>
      </c>
      <c r="E13" s="1051">
        <v>39735</v>
      </c>
      <c r="F13" s="1051">
        <v>39717</v>
      </c>
      <c r="G13" s="1048">
        <f>39735/39735</f>
        <v>1</v>
      </c>
      <c r="H13" s="1049">
        <f t="shared" si="0"/>
        <v>-4.5320643553137252E-4</v>
      </c>
      <c r="I13" s="1052">
        <v>-1894663</v>
      </c>
      <c r="J13" s="496">
        <v>38333</v>
      </c>
      <c r="L13" s="1045"/>
      <c r="M13" s="1045"/>
    </row>
    <row r="14" spans="2:13" ht="30">
      <c r="B14" s="485" t="s">
        <v>2099</v>
      </c>
      <c r="C14" s="2553"/>
      <c r="D14" s="1046">
        <v>12.4</v>
      </c>
      <c r="E14" s="1051">
        <v>11450</v>
      </c>
      <c r="F14" s="1051">
        <v>11514</v>
      </c>
      <c r="G14" s="1048">
        <f>11514/(35496+11514)</f>
        <v>0.24492661135928526</v>
      </c>
      <c r="H14" s="1053">
        <f t="shared" si="0"/>
        <v>5.5584505819002983E-3</v>
      </c>
      <c r="I14" s="1052">
        <v>-978339</v>
      </c>
      <c r="L14" s="1045"/>
      <c r="M14" s="1045"/>
    </row>
    <row r="15" spans="2:13" ht="30" customHeight="1">
      <c r="B15" s="1054" t="s">
        <v>1597</v>
      </c>
      <c r="C15" s="2553"/>
      <c r="D15" s="1046">
        <v>7.5</v>
      </c>
      <c r="E15" s="1051">
        <v>8481</v>
      </c>
      <c r="F15" s="1051">
        <v>8104</v>
      </c>
      <c r="G15" s="1048">
        <f>8104.09/8104.09</f>
        <v>1</v>
      </c>
      <c r="H15" s="1055">
        <f t="shared" si="0"/>
        <v>-4.6520236920039482E-2</v>
      </c>
      <c r="I15" s="1056">
        <v>-651975</v>
      </c>
      <c r="L15" s="1045"/>
      <c r="M15" s="1045"/>
    </row>
    <row r="16" spans="2:13" ht="30.75" thickBot="1">
      <c r="B16" s="1057" t="s">
        <v>2100</v>
      </c>
      <c r="C16" s="2554"/>
      <c r="D16" s="1058">
        <v>4</v>
      </c>
      <c r="E16" s="1059">
        <v>718</v>
      </c>
      <c r="F16" s="1060">
        <v>3452</v>
      </c>
      <c r="G16" s="1048">
        <f>3452/(5271+3452)</f>
        <v>0.39573541212885477</v>
      </c>
      <c r="H16" s="1061">
        <f t="shared" si="0"/>
        <v>0.79200463499420626</v>
      </c>
      <c r="I16" s="1062">
        <f>-277746</f>
        <v>-277746</v>
      </c>
      <c r="L16" s="1045"/>
      <c r="M16" s="1045"/>
    </row>
    <row r="17" spans="2:14" s="1063" customFormat="1" ht="25.15" customHeight="1" thickBot="1">
      <c r="B17" s="2555" t="s">
        <v>1518</v>
      </c>
      <c r="C17" s="2556"/>
      <c r="D17" s="491">
        <f>SUM(D6:D16)</f>
        <v>203.62</v>
      </c>
      <c r="E17" s="492">
        <f>SUM(E6:E16)</f>
        <v>173149</v>
      </c>
      <c r="F17" s="493">
        <f>SUM(F6:F16)</f>
        <v>184369</v>
      </c>
      <c r="G17" s="494">
        <f>E17/(3165+2859+5125+5463+61387+3899+3851+37611+3433+173149)</f>
        <v>0.57727493982169886</v>
      </c>
      <c r="H17" s="494">
        <f>1-E17/F17</f>
        <v>6.0856217693863957E-2</v>
      </c>
      <c r="I17" s="495">
        <f>SUM(I6:I16)</f>
        <v>-11943213</v>
      </c>
      <c r="J17" s="497"/>
      <c r="K17" s="497"/>
    </row>
    <row r="18" spans="2:14" s="1063" customFormat="1" ht="11.45" customHeight="1" thickBot="1">
      <c r="B18" s="1064"/>
      <c r="C18" s="1064"/>
      <c r="D18" s="1065"/>
      <c r="E18" s="1066"/>
      <c r="F18" s="1066"/>
      <c r="G18" s="1067"/>
      <c r="H18" s="1067"/>
      <c r="I18" s="1068"/>
      <c r="J18" s="497"/>
      <c r="K18" s="497"/>
    </row>
    <row r="19" spans="2:14" s="1063" customFormat="1" ht="34.15" customHeight="1" thickBot="1">
      <c r="B19" s="2557" t="s">
        <v>2101</v>
      </c>
      <c r="C19" s="2558"/>
      <c r="D19" s="2559"/>
      <c r="E19" s="2560"/>
      <c r="F19" s="2561"/>
      <c r="G19" s="2562" t="s">
        <v>2102</v>
      </c>
      <c r="H19" s="2563"/>
      <c r="I19" s="2564"/>
      <c r="J19" s="497"/>
      <c r="K19" s="497"/>
    </row>
    <row r="20" spans="2:14" s="1063" customFormat="1" ht="15.75">
      <c r="B20" s="113"/>
      <c r="C20" s="113"/>
      <c r="D20" s="113"/>
      <c r="E20" s="113"/>
      <c r="F20" s="113"/>
      <c r="G20" s="1069"/>
      <c r="H20" s="1069"/>
      <c r="I20" s="1070"/>
      <c r="J20" s="498"/>
      <c r="K20" s="498"/>
      <c r="L20" s="497"/>
      <c r="M20" s="497"/>
    </row>
    <row r="21" spans="2:14" s="1063" customFormat="1" ht="30" customHeight="1">
      <c r="B21" s="2539" t="s">
        <v>2103</v>
      </c>
      <c r="C21" s="2539"/>
      <c r="D21" s="2539"/>
      <c r="E21" s="2539"/>
      <c r="F21" s="2539"/>
      <c r="G21" s="2539"/>
      <c r="H21" s="2539"/>
      <c r="I21" s="2539"/>
      <c r="J21" s="498"/>
      <c r="K21" s="498"/>
      <c r="L21" s="497"/>
      <c r="M21" s="497"/>
    </row>
    <row r="22" spans="2:14" s="1063" customFormat="1" ht="17.45" customHeight="1">
      <c r="B22" s="113" t="s">
        <v>2104</v>
      </c>
      <c r="C22" s="113"/>
      <c r="D22" s="113"/>
      <c r="E22" s="1071"/>
      <c r="F22" s="1071"/>
      <c r="G22" s="1069"/>
      <c r="H22" s="1069"/>
      <c r="I22" s="1072"/>
      <c r="J22" s="498"/>
      <c r="K22" s="498"/>
      <c r="L22" s="497"/>
      <c r="M22" s="497"/>
    </row>
    <row r="23" spans="2:14" ht="16.149999999999999" customHeight="1" thickBot="1">
      <c r="B23" s="2540"/>
      <c r="C23" s="2540"/>
      <c r="D23" s="2540"/>
      <c r="E23" s="2540"/>
      <c r="F23" s="2540"/>
      <c r="G23" s="2540"/>
      <c r="H23" s="2540"/>
      <c r="I23" s="2540"/>
      <c r="L23" s="1045"/>
      <c r="M23" s="1045"/>
    </row>
    <row r="24" spans="2:14" ht="32.450000000000003" customHeight="1" thickBot="1">
      <c r="B24" s="1073" t="s">
        <v>2105</v>
      </c>
      <c r="C24" s="1074"/>
      <c r="D24" s="1074"/>
      <c r="E24" s="1074"/>
      <c r="F24" s="1074"/>
      <c r="G24" s="1074"/>
      <c r="H24" s="1075" t="s">
        <v>2106</v>
      </c>
      <c r="I24" s="2541" t="s">
        <v>2107</v>
      </c>
      <c r="L24" s="1045"/>
      <c r="M24" s="1045"/>
    </row>
    <row r="25" spans="2:14" ht="31.15" customHeight="1" thickTop="1">
      <c r="B25" s="1076" t="s">
        <v>1501</v>
      </c>
      <c r="C25" s="1077">
        <v>288216</v>
      </c>
      <c r="D25" s="2543" t="s">
        <v>2108</v>
      </c>
      <c r="E25" s="2544"/>
      <c r="F25" s="2545">
        <v>283293</v>
      </c>
      <c r="G25" s="2546"/>
      <c r="H25" s="1078">
        <f>1-C25/F25</f>
        <v>-1.7377767894017904E-2</v>
      </c>
      <c r="I25" s="2542"/>
      <c r="L25" s="1045"/>
      <c r="M25" s="1045"/>
    </row>
    <row r="26" spans="2:14" ht="82.15" customHeight="1">
      <c r="B26" s="2575" t="s">
        <v>1335</v>
      </c>
      <c r="C26" s="2577" t="s">
        <v>1519</v>
      </c>
      <c r="D26" s="2579" t="s">
        <v>2109</v>
      </c>
      <c r="E26" s="2580"/>
      <c r="F26" s="2580"/>
      <c r="G26" s="2580"/>
      <c r="H26" s="1079">
        <f>(-46.7+53.77)</f>
        <v>7.07</v>
      </c>
      <c r="I26" s="1080">
        <f>H26*F25</f>
        <v>2002881.51</v>
      </c>
      <c r="J26" s="496">
        <f>C25*H26</f>
        <v>2037687.12</v>
      </c>
      <c r="K26"/>
      <c r="L26" s="1081"/>
      <c r="M26" s="1045"/>
      <c r="N26" s="1082"/>
    </row>
    <row r="27" spans="2:14" ht="73.900000000000006" customHeight="1" thickBot="1">
      <c r="B27" s="2576"/>
      <c r="C27" s="2578"/>
      <c r="D27" s="2581" t="s">
        <v>2110</v>
      </c>
      <c r="E27" s="2582"/>
      <c r="F27" s="2582"/>
      <c r="G27" s="2582"/>
      <c r="H27" s="1079">
        <f>(-41.91+46.58)</f>
        <v>4.6700000000000017</v>
      </c>
      <c r="I27" s="1083">
        <f>H27*F25</f>
        <v>1322978.3100000005</v>
      </c>
      <c r="J27" s="1084"/>
      <c r="L27" s="1081"/>
      <c r="M27" s="1045"/>
    </row>
    <row r="28" spans="2:14" ht="31.9" customHeight="1" thickTop="1" thickBot="1">
      <c r="B28" s="2583" t="s">
        <v>2111</v>
      </c>
      <c r="C28" s="2584"/>
      <c r="D28" s="2584"/>
      <c r="E28" s="2584"/>
      <c r="F28" s="2584"/>
      <c r="G28" s="2584"/>
      <c r="H28" s="2584"/>
      <c r="I28" s="1085">
        <f>I26+I27</f>
        <v>3325859.8200000003</v>
      </c>
    </row>
    <row r="29" spans="2:14" ht="25.15" customHeight="1" thickBot="1">
      <c r="B29" s="1086"/>
      <c r="C29" s="1087"/>
      <c r="D29" s="1087"/>
      <c r="E29" s="1087"/>
      <c r="F29" s="1087"/>
      <c r="G29" s="1087"/>
      <c r="H29" s="1087"/>
      <c r="I29" s="1088"/>
      <c r="L29" s="1089"/>
    </row>
    <row r="30" spans="2:14" ht="40.15" customHeight="1" thickBot="1">
      <c r="B30" s="2573" t="s">
        <v>2112</v>
      </c>
      <c r="C30" s="2574"/>
      <c r="D30" s="2574"/>
      <c r="E30" s="2574"/>
      <c r="F30" s="2574"/>
      <c r="G30" s="2574"/>
      <c r="H30" s="2574"/>
      <c r="I30" s="1090">
        <f>I17+I28</f>
        <v>-8617353.1799999997</v>
      </c>
    </row>
    <row r="32" spans="2:14" ht="15">
      <c r="B32" s="113" t="s">
        <v>2113</v>
      </c>
      <c r="C32" s="1070"/>
      <c r="D32" s="1070"/>
      <c r="E32" s="1070"/>
      <c r="F32" s="1070"/>
      <c r="G32" s="1070"/>
      <c r="H32" s="1070"/>
    </row>
    <row r="33" spans="2:8" ht="23.45" customHeight="1">
      <c r="B33" s="1091" t="s">
        <v>2114</v>
      </c>
      <c r="C33" s="1070"/>
      <c r="D33" s="1070"/>
      <c r="E33" s="1070"/>
      <c r="F33" s="1070"/>
      <c r="G33" s="1070"/>
      <c r="H33" s="1070"/>
    </row>
    <row r="35" spans="2:8">
      <c r="B35" s="60"/>
      <c r="C35" s="60"/>
      <c r="D35" s="60"/>
      <c r="E35" s="1092"/>
      <c r="F35" s="1092"/>
      <c r="G35" s="1093"/>
      <c r="H35" s="1094"/>
    </row>
    <row r="36" spans="2:8">
      <c r="B36" s="60"/>
      <c r="C36" s="60"/>
      <c r="D36" s="60"/>
      <c r="E36" s="60"/>
      <c r="F36" s="60"/>
      <c r="G36" s="1093"/>
      <c r="H36" s="1094"/>
    </row>
    <row r="37" spans="2:8">
      <c r="G37" s="1094"/>
      <c r="H37" s="1095"/>
    </row>
    <row r="38" spans="2:8">
      <c r="G38" s="1037"/>
      <c r="H38" s="1037"/>
    </row>
  </sheetData>
  <mergeCells count="26">
    <mergeCell ref="D3:D4"/>
    <mergeCell ref="E3:E4"/>
    <mergeCell ref="F3:F4"/>
    <mergeCell ref="G3:G4"/>
    <mergeCell ref="B30:H30"/>
    <mergeCell ref="B26:B27"/>
    <mergeCell ref="C26:C27"/>
    <mergeCell ref="D26:G26"/>
    <mergeCell ref="D27:G27"/>
    <mergeCell ref="B28:H28"/>
    <mergeCell ref="B1:I1"/>
    <mergeCell ref="B21:I21"/>
    <mergeCell ref="B23:I23"/>
    <mergeCell ref="I24:I25"/>
    <mergeCell ref="D25:E25"/>
    <mergeCell ref="F25:G25"/>
    <mergeCell ref="I3:I4"/>
    <mergeCell ref="B5:I5"/>
    <mergeCell ref="C6:C16"/>
    <mergeCell ref="B17:C17"/>
    <mergeCell ref="B19:D19"/>
    <mergeCell ref="E19:F19"/>
    <mergeCell ref="G19:I19"/>
    <mergeCell ref="H3:H4"/>
    <mergeCell ref="B3:B4"/>
    <mergeCell ref="C3:C4"/>
  </mergeCells>
  <printOptions headings="1"/>
  <pageMargins left="0.74803149606299213" right="0.47244094488188981" top="1.0629921259842521" bottom="1.1811023622047245" header="0.39370078740157483" footer="0.43307086614173229"/>
  <pageSetup paperSize="9" scale="80" fitToHeight="0" orientation="portrait" r:id="rId1"/>
  <headerFooter alignWithMargins="0">
    <oddHeader>&amp;R&amp;A melléklet a /2026.(V.28.) önkormányzati rendelethez/ &amp;P.oldal</oddHeader>
  </headerFooter>
  <rowBreaks count="1" manualBreakCount="1">
    <brk id="22" min="1" max="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784"/>
  <sheetViews>
    <sheetView zoomScaleNormal="100" workbookViewId="0">
      <selection activeCell="F23" sqref="F23"/>
    </sheetView>
  </sheetViews>
  <sheetFormatPr defaultRowHeight="15.75"/>
  <cols>
    <col min="1" max="1" width="5.7109375" style="430" bestFit="1" customWidth="1"/>
    <col min="2" max="2" width="3.42578125" style="430" customWidth="1"/>
    <col min="3" max="3" width="4" style="430" customWidth="1"/>
    <col min="4" max="4" width="46.42578125" style="430" customWidth="1"/>
    <col min="5" max="5" width="14.28515625" style="1511" bestFit="1" customWidth="1"/>
    <col min="6" max="6" width="13.85546875" style="1522" customWidth="1"/>
    <col min="7" max="7" width="11.28515625" style="1500" customWidth="1"/>
    <col min="8" max="9" width="11.28515625" style="718" customWidth="1"/>
    <col min="10" max="257" width="9.140625" style="415"/>
    <col min="258" max="258" width="5.7109375" style="415" bestFit="1" customWidth="1"/>
    <col min="259" max="259" width="3.42578125" style="415" customWidth="1"/>
    <col min="260" max="260" width="4" style="415" customWidth="1"/>
    <col min="261" max="261" width="46.42578125" style="415" customWidth="1"/>
    <col min="262" max="265" width="11.28515625" style="415" customWidth="1"/>
    <col min="266" max="513" width="9.140625" style="415"/>
    <col min="514" max="514" width="5.7109375" style="415" bestFit="1" customWidth="1"/>
    <col min="515" max="515" width="3.42578125" style="415" customWidth="1"/>
    <col min="516" max="516" width="4" style="415" customWidth="1"/>
    <col min="517" max="517" width="46.42578125" style="415" customWidth="1"/>
    <col min="518" max="521" width="11.28515625" style="415" customWidth="1"/>
    <col min="522" max="769" width="9.140625" style="415"/>
    <col min="770" max="770" width="5.7109375" style="415" bestFit="1" customWidth="1"/>
    <col min="771" max="771" width="3.42578125" style="415" customWidth="1"/>
    <col min="772" max="772" width="4" style="415" customWidth="1"/>
    <col min="773" max="773" width="46.42578125" style="415" customWidth="1"/>
    <col min="774" max="777" width="11.28515625" style="415" customWidth="1"/>
    <col min="778" max="1025" width="9.140625" style="415"/>
    <col min="1026" max="1026" width="5.7109375" style="415" bestFit="1" customWidth="1"/>
    <col min="1027" max="1027" width="3.42578125" style="415" customWidth="1"/>
    <col min="1028" max="1028" width="4" style="415" customWidth="1"/>
    <col min="1029" max="1029" width="46.42578125" style="415" customWidth="1"/>
    <col min="1030" max="1033" width="11.28515625" style="415" customWidth="1"/>
    <col min="1034" max="1281" width="9.140625" style="415"/>
    <col min="1282" max="1282" width="5.7109375" style="415" bestFit="1" customWidth="1"/>
    <col min="1283" max="1283" width="3.42578125" style="415" customWidth="1"/>
    <col min="1284" max="1284" width="4" style="415" customWidth="1"/>
    <col min="1285" max="1285" width="46.42578125" style="415" customWidth="1"/>
    <col min="1286" max="1289" width="11.28515625" style="415" customWidth="1"/>
    <col min="1290" max="1537" width="9.140625" style="415"/>
    <col min="1538" max="1538" width="5.7109375" style="415" bestFit="1" customWidth="1"/>
    <col min="1539" max="1539" width="3.42578125" style="415" customWidth="1"/>
    <col min="1540" max="1540" width="4" style="415" customWidth="1"/>
    <col min="1541" max="1541" width="46.42578125" style="415" customWidth="1"/>
    <col min="1542" max="1545" width="11.28515625" style="415" customWidth="1"/>
    <col min="1546" max="1793" width="9.140625" style="415"/>
    <col min="1794" max="1794" width="5.7109375" style="415" bestFit="1" customWidth="1"/>
    <col min="1795" max="1795" width="3.42578125" style="415" customWidth="1"/>
    <col min="1796" max="1796" width="4" style="415" customWidth="1"/>
    <col min="1797" max="1797" width="46.42578125" style="415" customWidth="1"/>
    <col min="1798" max="1801" width="11.28515625" style="415" customWidth="1"/>
    <col min="1802" max="2049" width="9.140625" style="415"/>
    <col min="2050" max="2050" width="5.7109375" style="415" bestFit="1" customWidth="1"/>
    <col min="2051" max="2051" width="3.42578125" style="415" customWidth="1"/>
    <col min="2052" max="2052" width="4" style="415" customWidth="1"/>
    <col min="2053" max="2053" width="46.42578125" style="415" customWidth="1"/>
    <col min="2054" max="2057" width="11.28515625" style="415" customWidth="1"/>
    <col min="2058" max="2305" width="9.140625" style="415"/>
    <col min="2306" max="2306" width="5.7109375" style="415" bestFit="1" customWidth="1"/>
    <col min="2307" max="2307" width="3.42578125" style="415" customWidth="1"/>
    <col min="2308" max="2308" width="4" style="415" customWidth="1"/>
    <col min="2309" max="2309" width="46.42578125" style="415" customWidth="1"/>
    <col min="2310" max="2313" width="11.28515625" style="415" customWidth="1"/>
    <col min="2314" max="2561" width="9.140625" style="415"/>
    <col min="2562" max="2562" width="5.7109375" style="415" bestFit="1" customWidth="1"/>
    <col min="2563" max="2563" width="3.42578125" style="415" customWidth="1"/>
    <col min="2564" max="2564" width="4" style="415" customWidth="1"/>
    <col min="2565" max="2565" width="46.42578125" style="415" customWidth="1"/>
    <col min="2566" max="2569" width="11.28515625" style="415" customWidth="1"/>
    <col min="2570" max="2817" width="9.140625" style="415"/>
    <col min="2818" max="2818" width="5.7109375" style="415" bestFit="1" customWidth="1"/>
    <col min="2819" max="2819" width="3.42578125" style="415" customWidth="1"/>
    <col min="2820" max="2820" width="4" style="415" customWidth="1"/>
    <col min="2821" max="2821" width="46.42578125" style="415" customWidth="1"/>
    <col min="2822" max="2825" width="11.28515625" style="415" customWidth="1"/>
    <col min="2826" max="3073" width="9.140625" style="415"/>
    <col min="3074" max="3074" width="5.7109375" style="415" bestFit="1" customWidth="1"/>
    <col min="3075" max="3075" width="3.42578125" style="415" customWidth="1"/>
    <col min="3076" max="3076" width="4" style="415" customWidth="1"/>
    <col min="3077" max="3077" width="46.42578125" style="415" customWidth="1"/>
    <col min="3078" max="3081" width="11.28515625" style="415" customWidth="1"/>
    <col min="3082" max="3329" width="9.140625" style="415"/>
    <col min="3330" max="3330" width="5.7109375" style="415" bestFit="1" customWidth="1"/>
    <col min="3331" max="3331" width="3.42578125" style="415" customWidth="1"/>
    <col min="3332" max="3332" width="4" style="415" customWidth="1"/>
    <col min="3333" max="3333" width="46.42578125" style="415" customWidth="1"/>
    <col min="3334" max="3337" width="11.28515625" style="415" customWidth="1"/>
    <col min="3338" max="3585" width="9.140625" style="415"/>
    <col min="3586" max="3586" width="5.7109375" style="415" bestFit="1" customWidth="1"/>
    <col min="3587" max="3587" width="3.42578125" style="415" customWidth="1"/>
    <col min="3588" max="3588" width="4" style="415" customWidth="1"/>
    <col min="3589" max="3589" width="46.42578125" style="415" customWidth="1"/>
    <col min="3590" max="3593" width="11.28515625" style="415" customWidth="1"/>
    <col min="3594" max="3841" width="9.140625" style="415"/>
    <col min="3842" max="3842" width="5.7109375" style="415" bestFit="1" customWidth="1"/>
    <col min="3843" max="3843" width="3.42578125" style="415" customWidth="1"/>
    <col min="3844" max="3844" width="4" style="415" customWidth="1"/>
    <col min="3845" max="3845" width="46.42578125" style="415" customWidth="1"/>
    <col min="3846" max="3849" width="11.28515625" style="415" customWidth="1"/>
    <col min="3850" max="4097" width="9.140625" style="415"/>
    <col min="4098" max="4098" width="5.7109375" style="415" bestFit="1" customWidth="1"/>
    <col min="4099" max="4099" width="3.42578125" style="415" customWidth="1"/>
    <col min="4100" max="4100" width="4" style="415" customWidth="1"/>
    <col min="4101" max="4101" width="46.42578125" style="415" customWidth="1"/>
    <col min="4102" max="4105" width="11.28515625" style="415" customWidth="1"/>
    <col min="4106" max="4353" width="9.140625" style="415"/>
    <col min="4354" max="4354" width="5.7109375" style="415" bestFit="1" customWidth="1"/>
    <col min="4355" max="4355" width="3.42578125" style="415" customWidth="1"/>
    <col min="4356" max="4356" width="4" style="415" customWidth="1"/>
    <col min="4357" max="4357" width="46.42578125" style="415" customWidth="1"/>
    <col min="4358" max="4361" width="11.28515625" style="415" customWidth="1"/>
    <col min="4362" max="4609" width="9.140625" style="415"/>
    <col min="4610" max="4610" width="5.7109375" style="415" bestFit="1" customWidth="1"/>
    <col min="4611" max="4611" width="3.42578125" style="415" customWidth="1"/>
    <col min="4612" max="4612" width="4" style="415" customWidth="1"/>
    <col min="4613" max="4613" width="46.42578125" style="415" customWidth="1"/>
    <col min="4614" max="4617" width="11.28515625" style="415" customWidth="1"/>
    <col min="4618" max="4865" width="9.140625" style="415"/>
    <col min="4866" max="4866" width="5.7109375" style="415" bestFit="1" customWidth="1"/>
    <col min="4867" max="4867" width="3.42578125" style="415" customWidth="1"/>
    <col min="4868" max="4868" width="4" style="415" customWidth="1"/>
    <col min="4869" max="4869" width="46.42578125" style="415" customWidth="1"/>
    <col min="4870" max="4873" width="11.28515625" style="415" customWidth="1"/>
    <col min="4874" max="5121" width="9.140625" style="415"/>
    <col min="5122" max="5122" width="5.7109375" style="415" bestFit="1" customWidth="1"/>
    <col min="5123" max="5123" width="3.42578125" style="415" customWidth="1"/>
    <col min="5124" max="5124" width="4" style="415" customWidth="1"/>
    <col min="5125" max="5125" width="46.42578125" style="415" customWidth="1"/>
    <col min="5126" max="5129" width="11.28515625" style="415" customWidth="1"/>
    <col min="5130" max="5377" width="9.140625" style="415"/>
    <col min="5378" max="5378" width="5.7109375" style="415" bestFit="1" customWidth="1"/>
    <col min="5379" max="5379" width="3.42578125" style="415" customWidth="1"/>
    <col min="5380" max="5380" width="4" style="415" customWidth="1"/>
    <col min="5381" max="5381" width="46.42578125" style="415" customWidth="1"/>
    <col min="5382" max="5385" width="11.28515625" style="415" customWidth="1"/>
    <col min="5386" max="5633" width="9.140625" style="415"/>
    <col min="5634" max="5634" width="5.7109375" style="415" bestFit="1" customWidth="1"/>
    <col min="5635" max="5635" width="3.42578125" style="415" customWidth="1"/>
    <col min="5636" max="5636" width="4" style="415" customWidth="1"/>
    <col min="5637" max="5637" width="46.42578125" style="415" customWidth="1"/>
    <col min="5638" max="5641" width="11.28515625" style="415" customWidth="1"/>
    <col min="5642" max="5889" width="9.140625" style="415"/>
    <col min="5890" max="5890" width="5.7109375" style="415" bestFit="1" customWidth="1"/>
    <col min="5891" max="5891" width="3.42578125" style="415" customWidth="1"/>
    <col min="5892" max="5892" width="4" style="415" customWidth="1"/>
    <col min="5893" max="5893" width="46.42578125" style="415" customWidth="1"/>
    <col min="5894" max="5897" width="11.28515625" style="415" customWidth="1"/>
    <col min="5898" max="6145" width="9.140625" style="415"/>
    <col min="6146" max="6146" width="5.7109375" style="415" bestFit="1" customWidth="1"/>
    <col min="6147" max="6147" width="3.42578125" style="415" customWidth="1"/>
    <col min="6148" max="6148" width="4" style="415" customWidth="1"/>
    <col min="6149" max="6149" width="46.42578125" style="415" customWidth="1"/>
    <col min="6150" max="6153" width="11.28515625" style="415" customWidth="1"/>
    <col min="6154" max="6401" width="9.140625" style="415"/>
    <col min="6402" max="6402" width="5.7109375" style="415" bestFit="1" customWidth="1"/>
    <col min="6403" max="6403" width="3.42578125" style="415" customWidth="1"/>
    <col min="6404" max="6404" width="4" style="415" customWidth="1"/>
    <col min="6405" max="6405" width="46.42578125" style="415" customWidth="1"/>
    <col min="6406" max="6409" width="11.28515625" style="415" customWidth="1"/>
    <col min="6410" max="6657" width="9.140625" style="415"/>
    <col min="6658" max="6658" width="5.7109375" style="415" bestFit="1" customWidth="1"/>
    <col min="6659" max="6659" width="3.42578125" style="415" customWidth="1"/>
    <col min="6660" max="6660" width="4" style="415" customWidth="1"/>
    <col min="6661" max="6661" width="46.42578125" style="415" customWidth="1"/>
    <col min="6662" max="6665" width="11.28515625" style="415" customWidth="1"/>
    <col min="6666" max="6913" width="9.140625" style="415"/>
    <col min="6914" max="6914" width="5.7109375" style="415" bestFit="1" customWidth="1"/>
    <col min="6915" max="6915" width="3.42578125" style="415" customWidth="1"/>
    <col min="6916" max="6916" width="4" style="415" customWidth="1"/>
    <col min="6917" max="6917" width="46.42578125" style="415" customWidth="1"/>
    <col min="6918" max="6921" width="11.28515625" style="415" customWidth="1"/>
    <col min="6922" max="7169" width="9.140625" style="415"/>
    <col min="7170" max="7170" width="5.7109375" style="415" bestFit="1" customWidth="1"/>
    <col min="7171" max="7171" width="3.42578125" style="415" customWidth="1"/>
    <col min="7172" max="7172" width="4" style="415" customWidth="1"/>
    <col min="7173" max="7173" width="46.42578125" style="415" customWidth="1"/>
    <col min="7174" max="7177" width="11.28515625" style="415" customWidth="1"/>
    <col min="7178" max="7425" width="9.140625" style="415"/>
    <col min="7426" max="7426" width="5.7109375" style="415" bestFit="1" customWidth="1"/>
    <col min="7427" max="7427" width="3.42578125" style="415" customWidth="1"/>
    <col min="7428" max="7428" width="4" style="415" customWidth="1"/>
    <col min="7429" max="7429" width="46.42578125" style="415" customWidth="1"/>
    <col min="7430" max="7433" width="11.28515625" style="415" customWidth="1"/>
    <col min="7434" max="7681" width="9.140625" style="415"/>
    <col min="7682" max="7682" width="5.7109375" style="415" bestFit="1" customWidth="1"/>
    <col min="7683" max="7683" width="3.42578125" style="415" customWidth="1"/>
    <col min="7684" max="7684" width="4" style="415" customWidth="1"/>
    <col min="7685" max="7685" width="46.42578125" style="415" customWidth="1"/>
    <col min="7686" max="7689" width="11.28515625" style="415" customWidth="1"/>
    <col min="7690" max="7937" width="9.140625" style="415"/>
    <col min="7938" max="7938" width="5.7109375" style="415" bestFit="1" customWidth="1"/>
    <col min="7939" max="7939" width="3.42578125" style="415" customWidth="1"/>
    <col min="7940" max="7940" width="4" style="415" customWidth="1"/>
    <col min="7941" max="7941" width="46.42578125" style="415" customWidth="1"/>
    <col min="7942" max="7945" width="11.28515625" style="415" customWidth="1"/>
    <col min="7946" max="8193" width="9.140625" style="415"/>
    <col min="8194" max="8194" width="5.7109375" style="415" bestFit="1" customWidth="1"/>
    <col min="8195" max="8195" width="3.42578125" style="415" customWidth="1"/>
    <col min="8196" max="8196" width="4" style="415" customWidth="1"/>
    <col min="8197" max="8197" width="46.42578125" style="415" customWidth="1"/>
    <col min="8198" max="8201" width="11.28515625" style="415" customWidth="1"/>
    <col min="8202" max="8449" width="9.140625" style="415"/>
    <col min="8450" max="8450" width="5.7109375" style="415" bestFit="1" customWidth="1"/>
    <col min="8451" max="8451" width="3.42578125" style="415" customWidth="1"/>
    <col min="8452" max="8452" width="4" style="415" customWidth="1"/>
    <col min="8453" max="8453" width="46.42578125" style="415" customWidth="1"/>
    <col min="8454" max="8457" width="11.28515625" style="415" customWidth="1"/>
    <col min="8458" max="8705" width="9.140625" style="415"/>
    <col min="8706" max="8706" width="5.7109375" style="415" bestFit="1" customWidth="1"/>
    <col min="8707" max="8707" width="3.42578125" style="415" customWidth="1"/>
    <col min="8708" max="8708" width="4" style="415" customWidth="1"/>
    <col min="8709" max="8709" width="46.42578125" style="415" customWidth="1"/>
    <col min="8710" max="8713" width="11.28515625" style="415" customWidth="1"/>
    <col min="8714" max="8961" width="9.140625" style="415"/>
    <col min="8962" max="8962" width="5.7109375" style="415" bestFit="1" customWidth="1"/>
    <col min="8963" max="8963" width="3.42578125" style="415" customWidth="1"/>
    <col min="8964" max="8964" width="4" style="415" customWidth="1"/>
    <col min="8965" max="8965" width="46.42578125" style="415" customWidth="1"/>
    <col min="8966" max="8969" width="11.28515625" style="415" customWidth="1"/>
    <col min="8970" max="9217" width="9.140625" style="415"/>
    <col min="9218" max="9218" width="5.7109375" style="415" bestFit="1" customWidth="1"/>
    <col min="9219" max="9219" width="3.42578125" style="415" customWidth="1"/>
    <col min="9220" max="9220" width="4" style="415" customWidth="1"/>
    <col min="9221" max="9221" width="46.42578125" style="415" customWidth="1"/>
    <col min="9222" max="9225" width="11.28515625" style="415" customWidth="1"/>
    <col min="9226" max="9473" width="9.140625" style="415"/>
    <col min="9474" max="9474" width="5.7109375" style="415" bestFit="1" customWidth="1"/>
    <col min="9475" max="9475" width="3.42578125" style="415" customWidth="1"/>
    <col min="9476" max="9476" width="4" style="415" customWidth="1"/>
    <col min="9477" max="9477" width="46.42578125" style="415" customWidth="1"/>
    <col min="9478" max="9481" width="11.28515625" style="415" customWidth="1"/>
    <col min="9482" max="9729" width="9.140625" style="415"/>
    <col min="9730" max="9730" width="5.7109375" style="415" bestFit="1" customWidth="1"/>
    <col min="9731" max="9731" width="3.42578125" style="415" customWidth="1"/>
    <col min="9732" max="9732" width="4" style="415" customWidth="1"/>
    <col min="9733" max="9733" width="46.42578125" style="415" customWidth="1"/>
    <col min="9734" max="9737" width="11.28515625" style="415" customWidth="1"/>
    <col min="9738" max="9985" width="9.140625" style="415"/>
    <col min="9986" max="9986" width="5.7109375" style="415" bestFit="1" customWidth="1"/>
    <col min="9987" max="9987" width="3.42578125" style="415" customWidth="1"/>
    <col min="9988" max="9988" width="4" style="415" customWidth="1"/>
    <col min="9989" max="9989" width="46.42578125" style="415" customWidth="1"/>
    <col min="9990" max="9993" width="11.28515625" style="415" customWidth="1"/>
    <col min="9994" max="10241" width="9.140625" style="415"/>
    <col min="10242" max="10242" width="5.7109375" style="415" bestFit="1" customWidth="1"/>
    <col min="10243" max="10243" width="3.42578125" style="415" customWidth="1"/>
    <col min="10244" max="10244" width="4" style="415" customWidth="1"/>
    <col min="10245" max="10245" width="46.42578125" style="415" customWidth="1"/>
    <col min="10246" max="10249" width="11.28515625" style="415" customWidth="1"/>
    <col min="10250" max="10497" width="9.140625" style="415"/>
    <col min="10498" max="10498" width="5.7109375" style="415" bestFit="1" customWidth="1"/>
    <col min="10499" max="10499" width="3.42578125" style="415" customWidth="1"/>
    <col min="10500" max="10500" width="4" style="415" customWidth="1"/>
    <col min="10501" max="10501" width="46.42578125" style="415" customWidth="1"/>
    <col min="10502" max="10505" width="11.28515625" style="415" customWidth="1"/>
    <col min="10506" max="10753" width="9.140625" style="415"/>
    <col min="10754" max="10754" width="5.7109375" style="415" bestFit="1" customWidth="1"/>
    <col min="10755" max="10755" width="3.42578125" style="415" customWidth="1"/>
    <col min="10756" max="10756" width="4" style="415" customWidth="1"/>
    <col min="10757" max="10757" width="46.42578125" style="415" customWidth="1"/>
    <col min="10758" max="10761" width="11.28515625" style="415" customWidth="1"/>
    <col min="10762" max="11009" width="9.140625" style="415"/>
    <col min="11010" max="11010" width="5.7109375" style="415" bestFit="1" customWidth="1"/>
    <col min="11011" max="11011" width="3.42578125" style="415" customWidth="1"/>
    <col min="11012" max="11012" width="4" style="415" customWidth="1"/>
    <col min="11013" max="11013" width="46.42578125" style="415" customWidth="1"/>
    <col min="11014" max="11017" width="11.28515625" style="415" customWidth="1"/>
    <col min="11018" max="11265" width="9.140625" style="415"/>
    <col min="11266" max="11266" width="5.7109375" style="415" bestFit="1" customWidth="1"/>
    <col min="11267" max="11267" width="3.42578125" style="415" customWidth="1"/>
    <col min="11268" max="11268" width="4" style="415" customWidth="1"/>
    <col min="11269" max="11269" width="46.42578125" style="415" customWidth="1"/>
    <col min="11270" max="11273" width="11.28515625" style="415" customWidth="1"/>
    <col min="11274" max="11521" width="9.140625" style="415"/>
    <col min="11522" max="11522" width="5.7109375" style="415" bestFit="1" customWidth="1"/>
    <col min="11523" max="11523" width="3.42578125" style="415" customWidth="1"/>
    <col min="11524" max="11524" width="4" style="415" customWidth="1"/>
    <col min="11525" max="11525" width="46.42578125" style="415" customWidth="1"/>
    <col min="11526" max="11529" width="11.28515625" style="415" customWidth="1"/>
    <col min="11530" max="11777" width="9.140625" style="415"/>
    <col min="11778" max="11778" width="5.7109375" style="415" bestFit="1" customWidth="1"/>
    <col min="11779" max="11779" width="3.42578125" style="415" customWidth="1"/>
    <col min="11780" max="11780" width="4" style="415" customWidth="1"/>
    <col min="11781" max="11781" width="46.42578125" style="415" customWidth="1"/>
    <col min="11782" max="11785" width="11.28515625" style="415" customWidth="1"/>
    <col min="11786" max="12033" width="9.140625" style="415"/>
    <col min="12034" max="12034" width="5.7109375" style="415" bestFit="1" customWidth="1"/>
    <col min="12035" max="12035" width="3.42578125" style="415" customWidth="1"/>
    <col min="12036" max="12036" width="4" style="415" customWidth="1"/>
    <col min="12037" max="12037" width="46.42578125" style="415" customWidth="1"/>
    <col min="12038" max="12041" width="11.28515625" style="415" customWidth="1"/>
    <col min="12042" max="12289" width="9.140625" style="415"/>
    <col min="12290" max="12290" width="5.7109375" style="415" bestFit="1" customWidth="1"/>
    <col min="12291" max="12291" width="3.42578125" style="415" customWidth="1"/>
    <col min="12292" max="12292" width="4" style="415" customWidth="1"/>
    <col min="12293" max="12293" width="46.42578125" style="415" customWidth="1"/>
    <col min="12294" max="12297" width="11.28515625" style="415" customWidth="1"/>
    <col min="12298" max="12545" width="9.140625" style="415"/>
    <col min="12546" max="12546" width="5.7109375" style="415" bestFit="1" customWidth="1"/>
    <col min="12547" max="12547" width="3.42578125" style="415" customWidth="1"/>
    <col min="12548" max="12548" width="4" style="415" customWidth="1"/>
    <col min="12549" max="12549" width="46.42578125" style="415" customWidth="1"/>
    <col min="12550" max="12553" width="11.28515625" style="415" customWidth="1"/>
    <col min="12554" max="12801" width="9.140625" style="415"/>
    <col min="12802" max="12802" width="5.7109375" style="415" bestFit="1" customWidth="1"/>
    <col min="12803" max="12803" width="3.42578125" style="415" customWidth="1"/>
    <col min="12804" max="12804" width="4" style="415" customWidth="1"/>
    <col min="12805" max="12805" width="46.42578125" style="415" customWidth="1"/>
    <col min="12806" max="12809" width="11.28515625" style="415" customWidth="1"/>
    <col min="12810" max="13057" width="9.140625" style="415"/>
    <col min="13058" max="13058" width="5.7109375" style="415" bestFit="1" customWidth="1"/>
    <col min="13059" max="13059" width="3.42578125" style="415" customWidth="1"/>
    <col min="13060" max="13060" width="4" style="415" customWidth="1"/>
    <col min="13061" max="13061" width="46.42578125" style="415" customWidth="1"/>
    <col min="13062" max="13065" width="11.28515625" style="415" customWidth="1"/>
    <col min="13066" max="13313" width="9.140625" style="415"/>
    <col min="13314" max="13314" width="5.7109375" style="415" bestFit="1" customWidth="1"/>
    <col min="13315" max="13315" width="3.42578125" style="415" customWidth="1"/>
    <col min="13316" max="13316" width="4" style="415" customWidth="1"/>
    <col min="13317" max="13317" width="46.42578125" style="415" customWidth="1"/>
    <col min="13318" max="13321" width="11.28515625" style="415" customWidth="1"/>
    <col min="13322" max="13569" width="9.140625" style="415"/>
    <col min="13570" max="13570" width="5.7109375" style="415" bestFit="1" customWidth="1"/>
    <col min="13571" max="13571" width="3.42578125" style="415" customWidth="1"/>
    <col min="13572" max="13572" width="4" style="415" customWidth="1"/>
    <col min="13573" max="13573" width="46.42578125" style="415" customWidth="1"/>
    <col min="13574" max="13577" width="11.28515625" style="415" customWidth="1"/>
    <col min="13578" max="13825" width="9.140625" style="415"/>
    <col min="13826" max="13826" width="5.7109375" style="415" bestFit="1" customWidth="1"/>
    <col min="13827" max="13827" width="3.42578125" style="415" customWidth="1"/>
    <col min="13828" max="13828" width="4" style="415" customWidth="1"/>
    <col min="13829" max="13829" width="46.42578125" style="415" customWidth="1"/>
    <col min="13830" max="13833" width="11.28515625" style="415" customWidth="1"/>
    <col min="13834" max="14081" width="9.140625" style="415"/>
    <col min="14082" max="14082" width="5.7109375" style="415" bestFit="1" customWidth="1"/>
    <col min="14083" max="14083" width="3.42578125" style="415" customWidth="1"/>
    <col min="14084" max="14084" width="4" style="415" customWidth="1"/>
    <col min="14085" max="14085" width="46.42578125" style="415" customWidth="1"/>
    <col min="14086" max="14089" width="11.28515625" style="415" customWidth="1"/>
    <col min="14090" max="14337" width="9.140625" style="415"/>
    <col min="14338" max="14338" width="5.7109375" style="415" bestFit="1" customWidth="1"/>
    <col min="14339" max="14339" width="3.42578125" style="415" customWidth="1"/>
    <col min="14340" max="14340" width="4" style="415" customWidth="1"/>
    <col min="14341" max="14341" width="46.42578125" style="415" customWidth="1"/>
    <col min="14342" max="14345" width="11.28515625" style="415" customWidth="1"/>
    <col min="14346" max="14593" width="9.140625" style="415"/>
    <col min="14594" max="14594" width="5.7109375" style="415" bestFit="1" customWidth="1"/>
    <col min="14595" max="14595" width="3.42578125" style="415" customWidth="1"/>
    <col min="14596" max="14596" width="4" style="415" customWidth="1"/>
    <col min="14597" max="14597" width="46.42578125" style="415" customWidth="1"/>
    <col min="14598" max="14601" width="11.28515625" style="415" customWidth="1"/>
    <col min="14602" max="14849" width="9.140625" style="415"/>
    <col min="14850" max="14850" width="5.7109375" style="415" bestFit="1" customWidth="1"/>
    <col min="14851" max="14851" width="3.42578125" style="415" customWidth="1"/>
    <col min="14852" max="14852" width="4" style="415" customWidth="1"/>
    <col min="14853" max="14853" width="46.42578125" style="415" customWidth="1"/>
    <col min="14854" max="14857" width="11.28515625" style="415" customWidth="1"/>
    <col min="14858" max="15105" width="9.140625" style="415"/>
    <col min="15106" max="15106" width="5.7109375" style="415" bestFit="1" customWidth="1"/>
    <col min="15107" max="15107" width="3.42578125" style="415" customWidth="1"/>
    <col min="15108" max="15108" width="4" style="415" customWidth="1"/>
    <col min="15109" max="15109" width="46.42578125" style="415" customWidth="1"/>
    <col min="15110" max="15113" width="11.28515625" style="415" customWidth="1"/>
    <col min="15114" max="15361" width="9.140625" style="415"/>
    <col min="15362" max="15362" width="5.7109375" style="415" bestFit="1" customWidth="1"/>
    <col min="15363" max="15363" width="3.42578125" style="415" customWidth="1"/>
    <col min="15364" max="15364" width="4" style="415" customWidth="1"/>
    <col min="15365" max="15365" width="46.42578125" style="415" customWidth="1"/>
    <col min="15366" max="15369" width="11.28515625" style="415" customWidth="1"/>
    <col min="15370" max="15617" width="9.140625" style="415"/>
    <col min="15618" max="15618" width="5.7109375" style="415" bestFit="1" customWidth="1"/>
    <col min="15619" max="15619" width="3.42578125" style="415" customWidth="1"/>
    <col min="15620" max="15620" width="4" style="415" customWidth="1"/>
    <col min="15621" max="15621" width="46.42578125" style="415" customWidth="1"/>
    <col min="15622" max="15625" width="11.28515625" style="415" customWidth="1"/>
    <col min="15626" max="15873" width="9.140625" style="415"/>
    <col min="15874" max="15874" width="5.7109375" style="415" bestFit="1" customWidth="1"/>
    <col min="15875" max="15875" width="3.42578125" style="415" customWidth="1"/>
    <col min="15876" max="15876" width="4" style="415" customWidth="1"/>
    <col min="15877" max="15877" width="46.42578125" style="415" customWidth="1"/>
    <col min="15878" max="15881" width="11.28515625" style="415" customWidth="1"/>
    <col min="15882" max="16129" width="9.140625" style="415"/>
    <col min="16130" max="16130" width="5.7109375" style="415" bestFit="1" customWidth="1"/>
    <col min="16131" max="16131" width="3.42578125" style="415" customWidth="1"/>
    <col min="16132" max="16132" width="4" style="415" customWidth="1"/>
    <col min="16133" max="16133" width="46.42578125" style="415" customWidth="1"/>
    <col min="16134" max="16137" width="11.28515625" style="415" customWidth="1"/>
    <col min="16138" max="16384" width="9.140625" style="415"/>
  </cols>
  <sheetData>
    <row r="1" spans="1:9">
      <c r="D1" s="1863"/>
      <c r="E1" s="1864"/>
      <c r="F1" s="1864"/>
      <c r="G1" s="1864"/>
    </row>
    <row r="2" spans="1:9" ht="18.75">
      <c r="A2" s="2587"/>
      <c r="B2" s="2587"/>
      <c r="C2" s="2587"/>
      <c r="D2" s="2587"/>
      <c r="E2" s="2587"/>
      <c r="F2" s="2587"/>
      <c r="G2" s="2587"/>
      <c r="H2" s="2587"/>
    </row>
    <row r="3" spans="1:9" ht="18.75">
      <c r="A3" s="2587" t="s">
        <v>1304</v>
      </c>
      <c r="B3" s="2587"/>
      <c r="C3" s="2587"/>
      <c r="D3" s="2587"/>
      <c r="E3" s="2587"/>
      <c r="F3" s="2587"/>
      <c r="G3" s="2587"/>
      <c r="H3" s="2587"/>
      <c r="I3" s="2587"/>
    </row>
    <row r="4" spans="1:9" ht="18.75">
      <c r="A4" s="2587" t="s">
        <v>1305</v>
      </c>
      <c r="B4" s="2587"/>
      <c r="C4" s="2587"/>
      <c r="D4" s="2587"/>
      <c r="E4" s="2587"/>
      <c r="F4" s="2587"/>
      <c r="G4" s="2587"/>
      <c r="H4" s="2587"/>
      <c r="I4" s="2587"/>
    </row>
    <row r="5" spans="1:9">
      <c r="A5" s="416"/>
      <c r="B5" s="416"/>
      <c r="C5" s="416"/>
      <c r="D5" s="416"/>
      <c r="E5" s="1865"/>
      <c r="F5" s="1865"/>
      <c r="G5" s="1865"/>
      <c r="H5" s="719"/>
      <c r="I5" s="719"/>
    </row>
    <row r="6" spans="1:9">
      <c r="A6" s="416"/>
      <c r="B6" s="416"/>
      <c r="C6" s="416"/>
      <c r="D6" s="416"/>
      <c r="E6" s="1865"/>
      <c r="F6" s="1865"/>
      <c r="G6" s="1865"/>
      <c r="H6" s="719"/>
      <c r="I6" s="719"/>
    </row>
    <row r="7" spans="1:9" ht="19.5" thickBot="1">
      <c r="A7" s="446"/>
      <c r="B7" s="446"/>
      <c r="C7" s="446"/>
      <c r="D7" s="446"/>
      <c r="E7" s="1866"/>
      <c r="F7" s="1866"/>
      <c r="G7" s="1866"/>
      <c r="H7" s="719"/>
      <c r="I7" s="717" t="s">
        <v>38</v>
      </c>
    </row>
    <row r="8" spans="1:9" ht="17.25" thickTop="1" thickBot="1">
      <c r="A8" s="2588" t="s">
        <v>1306</v>
      </c>
      <c r="B8" s="2589"/>
      <c r="C8" s="2589"/>
      <c r="D8" s="2590"/>
      <c r="E8" s="1501" t="s">
        <v>2203</v>
      </c>
      <c r="F8" s="1512" t="s">
        <v>2204</v>
      </c>
      <c r="G8" s="1490" t="s">
        <v>1601</v>
      </c>
      <c r="H8" s="720" t="s">
        <v>1626</v>
      </c>
      <c r="I8" s="721" t="s">
        <v>1733</v>
      </c>
    </row>
    <row r="9" spans="1:9" ht="16.5" thickTop="1">
      <c r="A9" s="417" t="s">
        <v>49</v>
      </c>
      <c r="B9" s="2591" t="s">
        <v>1307</v>
      </c>
      <c r="C9" s="2592"/>
      <c r="D9" s="2592"/>
      <c r="E9" s="1502">
        <f>'1.'!B88</f>
        <v>670402000</v>
      </c>
      <c r="F9" s="1513">
        <f>'1.'!D88</f>
        <v>864630000</v>
      </c>
      <c r="G9" s="1491">
        <v>792942000</v>
      </c>
      <c r="H9" s="722">
        <v>670000000</v>
      </c>
      <c r="I9" s="722">
        <v>680000000</v>
      </c>
    </row>
    <row r="10" spans="1:9">
      <c r="A10" s="418" t="s">
        <v>51</v>
      </c>
      <c r="B10" s="2585" t="s">
        <v>158</v>
      </c>
      <c r="C10" s="2586"/>
      <c r="D10" s="2586"/>
      <c r="E10" s="1503">
        <f>'1.'!B94</f>
        <v>554997000</v>
      </c>
      <c r="F10" s="1514">
        <f>'1.'!D94</f>
        <v>161740000</v>
      </c>
      <c r="G10" s="1492">
        <v>631154000</v>
      </c>
      <c r="H10" s="723"/>
      <c r="I10" s="723"/>
    </row>
    <row r="11" spans="1:9">
      <c r="A11" s="418" t="s">
        <v>53</v>
      </c>
      <c r="B11" s="2585" t="s">
        <v>54</v>
      </c>
      <c r="C11" s="2586"/>
      <c r="D11" s="2586"/>
      <c r="E11" s="1504">
        <f>'1.'!B111</f>
        <v>1350500000</v>
      </c>
      <c r="F11" s="1515">
        <f>'1.'!D111</f>
        <v>1180911000</v>
      </c>
      <c r="G11" s="1493">
        <v>1370500000</v>
      </c>
      <c r="H11" s="724">
        <v>1350000000</v>
      </c>
      <c r="I11" s="724">
        <v>1400000000</v>
      </c>
    </row>
    <row r="12" spans="1:9">
      <c r="A12" s="418" t="s">
        <v>55</v>
      </c>
      <c r="B12" s="2594" t="s">
        <v>1308</v>
      </c>
      <c r="C12" s="2595"/>
      <c r="D12" s="2595"/>
      <c r="E12" s="1504">
        <f>'1.'!B126</f>
        <v>342398000</v>
      </c>
      <c r="F12" s="1515">
        <f>'1.'!D126</f>
        <v>432174387</v>
      </c>
      <c r="G12" s="1493">
        <v>399720000</v>
      </c>
      <c r="H12" s="724">
        <v>474800000</v>
      </c>
      <c r="I12" s="724">
        <v>414300000</v>
      </c>
    </row>
    <row r="13" spans="1:9">
      <c r="A13" s="418" t="s">
        <v>58</v>
      </c>
      <c r="B13" s="419" t="s">
        <v>59</v>
      </c>
      <c r="C13" s="420"/>
      <c r="D13" s="420"/>
      <c r="E13" s="1504">
        <f>'1.'!B132</f>
        <v>3000000</v>
      </c>
      <c r="F13" s="1515">
        <f>'1.'!D132</f>
        <v>7730000</v>
      </c>
      <c r="G13" s="1493">
        <v>16077000</v>
      </c>
      <c r="H13" s="724">
        <v>200000</v>
      </c>
      <c r="I13" s="724">
        <v>200000</v>
      </c>
    </row>
    <row r="14" spans="1:9">
      <c r="A14" s="418" t="s">
        <v>60</v>
      </c>
      <c r="B14" s="2585" t="s">
        <v>61</v>
      </c>
      <c r="C14" s="2586"/>
      <c r="D14" s="2586"/>
      <c r="E14" s="1504">
        <f>'1.'!B138</f>
        <v>0</v>
      </c>
      <c r="F14" s="1515">
        <f>'1.'!D138</f>
        <v>969000</v>
      </c>
      <c r="G14" s="1493">
        <v>0</v>
      </c>
      <c r="H14" s="724"/>
      <c r="I14" s="724"/>
    </row>
    <row r="15" spans="1:9">
      <c r="A15" s="418" t="s">
        <v>62</v>
      </c>
      <c r="B15" s="2585" t="s">
        <v>63</v>
      </c>
      <c r="C15" s="2586"/>
      <c r="D15" s="2586"/>
      <c r="E15" s="1504">
        <f>'1.'!B143</f>
        <v>3500000</v>
      </c>
      <c r="F15" s="1515">
        <f>'1.'!D143</f>
        <v>2753000</v>
      </c>
      <c r="G15" s="1493">
        <v>3500000</v>
      </c>
      <c r="H15" s="724">
        <v>5000000</v>
      </c>
      <c r="I15" s="724">
        <v>5500000</v>
      </c>
    </row>
    <row r="16" spans="1:9">
      <c r="A16" s="418"/>
      <c r="B16" s="2596"/>
      <c r="C16" s="2597"/>
      <c r="D16" s="2597"/>
      <c r="E16" s="1504"/>
      <c r="F16" s="1515"/>
      <c r="G16" s="1493"/>
      <c r="H16" s="724"/>
      <c r="I16" s="724"/>
    </row>
    <row r="17" spans="1:9">
      <c r="A17" s="421"/>
      <c r="B17" s="2598" t="s">
        <v>1309</v>
      </c>
      <c r="C17" s="2598"/>
      <c r="D17" s="2598"/>
      <c r="E17" s="1505">
        <f>SUM(E9:E16)</f>
        <v>2924797000</v>
      </c>
      <c r="F17" s="1516">
        <f>SUM(F9:F16)</f>
        <v>2650907387</v>
      </c>
      <c r="G17" s="1494">
        <f>SUM(G9:G16)</f>
        <v>3213893000</v>
      </c>
      <c r="H17" s="725">
        <f>SUM(H9:H16)</f>
        <v>2500000000</v>
      </c>
      <c r="I17" s="725">
        <f>SUM(I9:I16)</f>
        <v>2500000000</v>
      </c>
    </row>
    <row r="18" spans="1:9">
      <c r="A18" s="418"/>
      <c r="B18" s="2599"/>
      <c r="C18" s="2600"/>
      <c r="D18" s="2596"/>
      <c r="E18" s="1504"/>
      <c r="F18" s="1515"/>
      <c r="G18" s="1493"/>
      <c r="H18" s="724"/>
      <c r="I18" s="724"/>
    </row>
    <row r="19" spans="1:9">
      <c r="A19" s="418" t="s">
        <v>65</v>
      </c>
      <c r="B19" s="2586" t="s">
        <v>66</v>
      </c>
      <c r="C19" s="2586"/>
      <c r="D19" s="2586"/>
      <c r="E19" s="1506">
        <f>'1.'!B151</f>
        <v>2536320000</v>
      </c>
      <c r="F19" s="1517">
        <f>'1.'!D151</f>
        <v>3547593000</v>
      </c>
      <c r="G19" s="1495">
        <v>2187417000</v>
      </c>
      <c r="H19" s="726">
        <v>1677000000</v>
      </c>
      <c r="I19" s="726">
        <v>1242900000</v>
      </c>
    </row>
    <row r="20" spans="1:9" ht="16.5" thickBot="1">
      <c r="A20" s="422"/>
      <c r="B20" s="2601"/>
      <c r="C20" s="2602"/>
      <c r="D20" s="2603"/>
      <c r="E20" s="1507"/>
      <c r="F20" s="1518"/>
      <c r="G20" s="1496"/>
      <c r="H20" s="727"/>
      <c r="I20" s="728"/>
    </row>
    <row r="21" spans="1:9" ht="34.5" customHeight="1" thickTop="1" thickBot="1">
      <c r="A21" s="423"/>
      <c r="B21" s="2604" t="s">
        <v>67</v>
      </c>
      <c r="C21" s="2605"/>
      <c r="D21" s="2606"/>
      <c r="E21" s="1485">
        <f>SUM(E19,E17)</f>
        <v>5461117000</v>
      </c>
      <c r="F21" s="1485">
        <f>SUM(F19,F17)</f>
        <v>6198500387</v>
      </c>
      <c r="G21" s="1485">
        <f>SUM(G19,G17)</f>
        <v>5401310000</v>
      </c>
      <c r="H21" s="1485">
        <f>SUM(H19,H17)</f>
        <v>4177000000</v>
      </c>
      <c r="I21" s="1486">
        <f>SUM(I19,I17)</f>
        <v>3742900000</v>
      </c>
    </row>
    <row r="22" spans="1:9" ht="17.25" thickTop="1" thickBot="1">
      <c r="A22" s="424"/>
      <c r="B22" s="424"/>
      <c r="C22" s="424"/>
      <c r="D22" s="425"/>
      <c r="E22" s="1867"/>
      <c r="F22" s="1867"/>
      <c r="G22" s="1867"/>
      <c r="H22" s="729"/>
    </row>
    <row r="23" spans="1:9" ht="17.25" thickTop="1" thickBot="1">
      <c r="A23" s="2588" t="s">
        <v>1310</v>
      </c>
      <c r="B23" s="2589"/>
      <c r="C23" s="2589"/>
      <c r="D23" s="2590"/>
      <c r="E23" s="1501" t="s">
        <v>2203</v>
      </c>
      <c r="F23" s="1512" t="s">
        <v>2204</v>
      </c>
      <c r="G23" s="1490" t="s">
        <v>1601</v>
      </c>
      <c r="H23" s="720" t="s">
        <v>1626</v>
      </c>
      <c r="I23" s="721" t="s">
        <v>1733</v>
      </c>
    </row>
    <row r="24" spans="1:9" ht="17.25" thickTop="1" thickBot="1">
      <c r="A24" s="426" t="s">
        <v>176</v>
      </c>
      <c r="B24" s="2593" t="s">
        <v>177</v>
      </c>
      <c r="C24" s="2593"/>
      <c r="D24" s="2593"/>
      <c r="E24" s="1508">
        <f>SUM(E25:E31)</f>
        <v>2613888000</v>
      </c>
      <c r="F24" s="1519">
        <f>SUM(F25:F31)</f>
        <v>2114638822</v>
      </c>
      <c r="G24" s="1497">
        <f>SUM(G25:G31)</f>
        <v>2853131000</v>
      </c>
      <c r="H24" s="730">
        <f>SUM(H25:H31)</f>
        <v>2769000000</v>
      </c>
      <c r="I24" s="731">
        <f>SUM(I25:I31)</f>
        <v>2762900000</v>
      </c>
    </row>
    <row r="25" spans="1:9">
      <c r="A25" s="427"/>
      <c r="B25" s="428" t="s">
        <v>178</v>
      </c>
      <c r="C25" s="2607" t="s">
        <v>89</v>
      </c>
      <c r="D25" s="2608"/>
      <c r="E25" s="1509">
        <f>'4.'!T10</f>
        <v>780301000</v>
      </c>
      <c r="F25" s="1520">
        <f>'4.'!V10</f>
        <v>846688807</v>
      </c>
      <c r="G25" s="1498">
        <v>890316000</v>
      </c>
      <c r="H25" s="732">
        <v>950000000</v>
      </c>
      <c r="I25" s="732">
        <v>1000000000</v>
      </c>
    </row>
    <row r="26" spans="1:9">
      <c r="A26" s="418"/>
      <c r="B26" s="445" t="s">
        <v>178</v>
      </c>
      <c r="C26" s="2609" t="s">
        <v>179</v>
      </c>
      <c r="D26" s="2585"/>
      <c r="E26" s="1509">
        <f>'4.'!T11</f>
        <v>105948000</v>
      </c>
      <c r="F26" s="1520">
        <f>'4.'!V11</f>
        <v>117505688</v>
      </c>
      <c r="G26" s="1498">
        <v>121131000</v>
      </c>
      <c r="H26" s="732">
        <v>104000000</v>
      </c>
      <c r="I26" s="732">
        <v>107900000</v>
      </c>
    </row>
    <row r="27" spans="1:9">
      <c r="A27" s="418"/>
      <c r="B27" s="445" t="s">
        <v>178</v>
      </c>
      <c r="C27" s="2609" t="s">
        <v>150</v>
      </c>
      <c r="D27" s="2585"/>
      <c r="E27" s="1509">
        <f>'4.'!T12</f>
        <v>774693000</v>
      </c>
      <c r="F27" s="1520">
        <f>'4.'!V12</f>
        <v>560405327</v>
      </c>
      <c r="G27" s="1498">
        <v>767682000</v>
      </c>
      <c r="H27" s="732">
        <v>780000000</v>
      </c>
      <c r="I27" s="732">
        <v>800000000</v>
      </c>
    </row>
    <row r="28" spans="1:9">
      <c r="A28" s="418"/>
      <c r="B28" s="445" t="s">
        <v>178</v>
      </c>
      <c r="C28" s="2609" t="s">
        <v>180</v>
      </c>
      <c r="D28" s="2585"/>
      <c r="E28" s="1509">
        <f>'4.'!T13</f>
        <v>44073000</v>
      </c>
      <c r="F28" s="1520">
        <f>'4.'!V13</f>
        <v>40748000</v>
      </c>
      <c r="G28" s="1498">
        <v>44073000</v>
      </c>
      <c r="H28" s="732">
        <v>45000000</v>
      </c>
      <c r="I28" s="732">
        <v>45000000</v>
      </c>
    </row>
    <row r="29" spans="1:9">
      <c r="A29" s="418"/>
      <c r="B29" s="445" t="s">
        <v>178</v>
      </c>
      <c r="C29" s="2586" t="s">
        <v>93</v>
      </c>
      <c r="D29" s="2586"/>
      <c r="E29" s="1509">
        <f>'4.'!T14</f>
        <v>504785000</v>
      </c>
      <c r="F29" s="1520">
        <f>'4.'!V14</f>
        <v>549291000</v>
      </c>
      <c r="G29" s="1498">
        <v>458056000</v>
      </c>
      <c r="H29" s="732">
        <v>470000000</v>
      </c>
      <c r="I29" s="732">
        <v>490000000</v>
      </c>
    </row>
    <row r="30" spans="1:9">
      <c r="A30" s="418"/>
      <c r="B30" s="445" t="s">
        <v>178</v>
      </c>
      <c r="C30" s="2609" t="s">
        <v>181</v>
      </c>
      <c r="D30" s="2585"/>
      <c r="E30" s="1509">
        <f>'4.'!T15</f>
        <v>276580000</v>
      </c>
      <c r="F30" s="1520">
        <f>'4.'!V15</f>
        <v>0</v>
      </c>
      <c r="G30" s="1498">
        <v>276580000</v>
      </c>
      <c r="H30" s="732">
        <v>250000000</v>
      </c>
      <c r="I30" s="732">
        <v>250000000</v>
      </c>
    </row>
    <row r="31" spans="1:9">
      <c r="A31" s="418"/>
      <c r="B31" s="445" t="s">
        <v>178</v>
      </c>
      <c r="C31" s="2586" t="s">
        <v>182</v>
      </c>
      <c r="D31" s="2586"/>
      <c r="E31" s="1509">
        <f>'4.'!T16</f>
        <v>127508000</v>
      </c>
      <c r="F31" s="1520">
        <f>'4.'!V16</f>
        <v>0</v>
      </c>
      <c r="G31" s="1498">
        <v>295293000</v>
      </c>
      <c r="H31" s="732">
        <v>170000000</v>
      </c>
      <c r="I31" s="732">
        <v>70000000</v>
      </c>
    </row>
    <row r="32" spans="1:9">
      <c r="A32" s="418"/>
      <c r="B32" s="2599"/>
      <c r="C32" s="2600"/>
      <c r="D32" s="2596"/>
      <c r="E32" s="1504"/>
      <c r="F32" s="1515"/>
      <c r="G32" s="1493"/>
      <c r="H32" s="724"/>
      <c r="I32" s="733"/>
    </row>
    <row r="33" spans="1:9" ht="16.5" thickBot="1">
      <c r="A33" s="429" t="s">
        <v>183</v>
      </c>
      <c r="B33" s="2610" t="s">
        <v>184</v>
      </c>
      <c r="C33" s="2610"/>
      <c r="D33" s="2610"/>
      <c r="E33" s="1510">
        <f>SUM(E34:E37)</f>
        <v>2826075000</v>
      </c>
      <c r="F33" s="1521">
        <f>SUM(F34:F37)</f>
        <v>682240035.02999997</v>
      </c>
      <c r="G33" s="1499">
        <f>SUM(G34:G37)</f>
        <v>2521245000</v>
      </c>
      <c r="H33" s="734">
        <f>SUM(H34:H37)</f>
        <v>1380000000</v>
      </c>
      <c r="I33" s="735">
        <f>SUM(I34:I37)</f>
        <v>950000000</v>
      </c>
    </row>
    <row r="34" spans="1:9">
      <c r="A34" s="427"/>
      <c r="B34" s="428" t="s">
        <v>178</v>
      </c>
      <c r="C34" s="2611" t="s">
        <v>95</v>
      </c>
      <c r="D34" s="2611"/>
      <c r="E34" s="1509">
        <f>'4.'!T20</f>
        <v>2678503000</v>
      </c>
      <c r="F34" s="1520">
        <f>'4.'!V20</f>
        <v>584290786.13999999</v>
      </c>
      <c r="G34" s="1498">
        <v>2392243000</v>
      </c>
      <c r="H34" s="732">
        <v>1250000000</v>
      </c>
      <c r="I34" s="732">
        <v>800000000</v>
      </c>
    </row>
    <row r="35" spans="1:9">
      <c r="A35" s="418"/>
      <c r="B35" s="445" t="s">
        <v>178</v>
      </c>
      <c r="C35" s="2586" t="s">
        <v>97</v>
      </c>
      <c r="D35" s="2586"/>
      <c r="E35" s="1509">
        <f>'4.'!T21</f>
        <v>116907000</v>
      </c>
      <c r="F35" s="1520">
        <f>'4.'!V21</f>
        <v>94949248.890000001</v>
      </c>
      <c r="G35" s="1498">
        <v>100566000</v>
      </c>
      <c r="H35" s="732">
        <v>100000000</v>
      </c>
      <c r="I35" s="732">
        <v>120000000</v>
      </c>
    </row>
    <row r="36" spans="1:9">
      <c r="A36" s="418"/>
      <c r="B36" s="445" t="s">
        <v>178</v>
      </c>
      <c r="C36" s="2586" t="s">
        <v>99</v>
      </c>
      <c r="D36" s="2586"/>
      <c r="E36" s="1509">
        <f>'4.'!T22</f>
        <v>10000000</v>
      </c>
      <c r="F36" s="1520">
        <f>'4.'!V22</f>
        <v>3000000</v>
      </c>
      <c r="G36" s="1498">
        <v>10000000</v>
      </c>
      <c r="H36" s="732">
        <v>10000000</v>
      </c>
      <c r="I36" s="732">
        <v>10000000</v>
      </c>
    </row>
    <row r="37" spans="1:9">
      <c r="A37" s="418"/>
      <c r="B37" s="445" t="s">
        <v>178</v>
      </c>
      <c r="C37" s="2586" t="s">
        <v>101</v>
      </c>
      <c r="D37" s="2586"/>
      <c r="E37" s="1509">
        <f>'4.'!T23</f>
        <v>20665000</v>
      </c>
      <c r="F37" s="1520">
        <f>'4.'!V23</f>
        <v>0</v>
      </c>
      <c r="G37" s="1498">
        <v>18436000</v>
      </c>
      <c r="H37" s="732">
        <v>20000000</v>
      </c>
      <c r="I37" s="732">
        <v>20000000</v>
      </c>
    </row>
    <row r="38" spans="1:9">
      <c r="A38" s="418"/>
      <c r="B38" s="2609"/>
      <c r="C38" s="2613"/>
      <c r="D38" s="2585"/>
      <c r="E38" s="1504"/>
      <c r="F38" s="1515"/>
      <c r="G38" s="1493"/>
      <c r="H38" s="724"/>
      <c r="I38" s="733"/>
    </row>
    <row r="39" spans="1:9">
      <c r="A39" s="421" t="s">
        <v>85</v>
      </c>
      <c r="B39" s="2614" t="s">
        <v>1311</v>
      </c>
      <c r="C39" s="2614"/>
      <c r="D39" s="2614"/>
      <c r="E39" s="1506">
        <f>SUM(E24,E33)</f>
        <v>5439963000</v>
      </c>
      <c r="F39" s="1517">
        <f>SUM(F24,F33)</f>
        <v>2796878857.0299997</v>
      </c>
      <c r="G39" s="1495">
        <f>SUM(G24,G33)</f>
        <v>5374376000</v>
      </c>
      <c r="H39" s="726">
        <f>SUM(H24,H33)</f>
        <v>4149000000</v>
      </c>
      <c r="I39" s="736">
        <f>SUM(I24,I33)</f>
        <v>3712900000</v>
      </c>
    </row>
    <row r="40" spans="1:9">
      <c r="A40" s="418"/>
      <c r="B40" s="2609"/>
      <c r="C40" s="2613"/>
      <c r="D40" s="2585"/>
      <c r="E40" s="1504"/>
      <c r="F40" s="1515"/>
      <c r="G40" s="1493"/>
      <c r="H40" s="724"/>
      <c r="I40" s="733"/>
    </row>
    <row r="41" spans="1:9">
      <c r="A41" s="421" t="s">
        <v>185</v>
      </c>
      <c r="B41" s="2586" t="s">
        <v>104</v>
      </c>
      <c r="C41" s="2586"/>
      <c r="D41" s="2586"/>
      <c r="E41" s="1506">
        <f>'4.'!T25</f>
        <v>21153870</v>
      </c>
      <c r="F41" s="1517">
        <f>'4.'!V25</f>
        <v>293000938</v>
      </c>
      <c r="G41" s="1495">
        <v>26934000</v>
      </c>
      <c r="H41" s="726">
        <v>28000000</v>
      </c>
      <c r="I41" s="736">
        <v>30000000</v>
      </c>
    </row>
    <row r="42" spans="1:9" ht="16.5" thickBot="1">
      <c r="A42" s="422"/>
      <c r="B42" s="2615"/>
      <c r="C42" s="2616"/>
      <c r="D42" s="2617"/>
      <c r="E42" s="1507"/>
      <c r="F42" s="1518"/>
      <c r="G42" s="1496"/>
      <c r="H42" s="727"/>
      <c r="I42" s="728"/>
    </row>
    <row r="43" spans="1:9" ht="17.25" thickTop="1" thickBot="1">
      <c r="A43" s="1487" t="s">
        <v>186</v>
      </c>
      <c r="B43" s="2612" t="s">
        <v>105</v>
      </c>
      <c r="C43" s="2612"/>
      <c r="D43" s="2612"/>
      <c r="E43" s="1488">
        <f>SUM(E39,E41)</f>
        <v>5461116870</v>
      </c>
      <c r="F43" s="1488">
        <f>SUM(F39,F41)</f>
        <v>3089879795.0299997</v>
      </c>
      <c r="G43" s="1488">
        <f>SUM(G39,G41)</f>
        <v>5401310000</v>
      </c>
      <c r="H43" s="1488">
        <f>SUM(H39,H41)</f>
        <v>4177000000</v>
      </c>
      <c r="I43" s="1489">
        <f>SUM(I39,I41)</f>
        <v>3742900000</v>
      </c>
    </row>
    <row r="44" spans="1:9" ht="16.5" thickTop="1">
      <c r="E44" s="1864"/>
      <c r="F44" s="1864"/>
      <c r="G44" s="1864"/>
      <c r="H44" s="1867"/>
    </row>
    <row r="45" spans="1:9">
      <c r="E45" s="1864"/>
      <c r="F45" s="1864"/>
      <c r="G45" s="1864"/>
      <c r="H45" s="1867"/>
    </row>
    <row r="46" spans="1:9">
      <c r="E46" s="1864"/>
      <c r="F46" s="1864"/>
      <c r="G46" s="1864"/>
      <c r="H46" s="1867"/>
    </row>
    <row r="47" spans="1:9">
      <c r="E47" s="1864"/>
      <c r="F47" s="1864"/>
      <c r="G47" s="1864"/>
      <c r="H47" s="1867"/>
    </row>
    <row r="48" spans="1:9">
      <c r="E48" s="1864"/>
      <c r="F48" s="1864"/>
      <c r="G48" s="1864"/>
      <c r="H48" s="1867"/>
    </row>
    <row r="49" spans="5:8">
      <c r="E49" s="1864"/>
      <c r="F49" s="1864"/>
      <c r="G49" s="1864"/>
      <c r="H49" s="1867"/>
    </row>
    <row r="50" spans="5:8">
      <c r="E50" s="1864"/>
      <c r="F50" s="1864"/>
      <c r="G50" s="1864"/>
      <c r="H50" s="1867"/>
    </row>
    <row r="51" spans="5:8">
      <c r="E51" s="1864"/>
      <c r="F51" s="1864"/>
      <c r="G51" s="1864"/>
      <c r="H51" s="1867"/>
    </row>
    <row r="52" spans="5:8">
      <c r="E52" s="1864"/>
      <c r="F52" s="1864"/>
      <c r="G52" s="1864"/>
      <c r="H52" s="1867"/>
    </row>
    <row r="53" spans="5:8">
      <c r="E53" s="1864"/>
      <c r="F53" s="1864"/>
      <c r="G53" s="1864"/>
      <c r="H53" s="1867"/>
    </row>
    <row r="54" spans="5:8">
      <c r="E54" s="1864"/>
      <c r="F54" s="1864"/>
      <c r="G54" s="1864"/>
      <c r="H54" s="1867"/>
    </row>
    <row r="55" spans="5:8">
      <c r="E55" s="1864"/>
      <c r="F55" s="1864"/>
      <c r="G55" s="1864"/>
      <c r="H55" s="1867"/>
    </row>
    <row r="56" spans="5:8">
      <c r="E56" s="1864"/>
      <c r="F56" s="1864"/>
      <c r="G56" s="1864"/>
      <c r="H56" s="1867"/>
    </row>
    <row r="57" spans="5:8">
      <c r="E57" s="1864"/>
      <c r="F57" s="1864"/>
      <c r="G57" s="1864"/>
      <c r="H57" s="1867"/>
    </row>
    <row r="58" spans="5:8">
      <c r="E58" s="1864"/>
      <c r="F58" s="1864"/>
      <c r="G58" s="1864"/>
      <c r="H58" s="1867"/>
    </row>
    <row r="59" spans="5:8">
      <c r="E59" s="1864"/>
      <c r="F59" s="1864"/>
      <c r="G59" s="1864"/>
      <c r="H59" s="1867"/>
    </row>
    <row r="60" spans="5:8">
      <c r="E60" s="1864"/>
      <c r="F60" s="1864"/>
      <c r="G60" s="1864"/>
      <c r="H60" s="1867"/>
    </row>
    <row r="61" spans="5:8">
      <c r="E61" s="1864"/>
      <c r="F61" s="1864"/>
      <c r="G61" s="1864"/>
      <c r="H61" s="1867"/>
    </row>
    <row r="62" spans="5:8">
      <c r="E62" s="1864"/>
      <c r="F62" s="1864"/>
      <c r="G62" s="1864"/>
      <c r="H62" s="1867"/>
    </row>
    <row r="63" spans="5:8">
      <c r="E63" s="1864"/>
      <c r="F63" s="1864"/>
      <c r="G63" s="1864"/>
      <c r="H63" s="1867"/>
    </row>
    <row r="64" spans="5:8">
      <c r="E64" s="1864"/>
      <c r="F64" s="1864"/>
      <c r="G64" s="1864"/>
      <c r="H64" s="1867"/>
    </row>
    <row r="65" spans="5:8">
      <c r="E65" s="1864"/>
      <c r="F65" s="1864"/>
      <c r="G65" s="1864"/>
      <c r="H65" s="1867"/>
    </row>
    <row r="66" spans="5:8">
      <c r="E66" s="1864"/>
      <c r="F66" s="1864"/>
      <c r="G66" s="1864"/>
      <c r="H66" s="1867"/>
    </row>
    <row r="67" spans="5:8">
      <c r="E67" s="1864"/>
      <c r="F67" s="1864"/>
      <c r="G67" s="1864"/>
      <c r="H67" s="1867"/>
    </row>
    <row r="68" spans="5:8">
      <c r="E68" s="1864"/>
      <c r="F68" s="1864"/>
      <c r="G68" s="1864"/>
      <c r="H68" s="1867"/>
    </row>
    <row r="69" spans="5:8">
      <c r="E69" s="1864"/>
      <c r="F69" s="1864"/>
      <c r="G69" s="1864"/>
      <c r="H69" s="1867"/>
    </row>
    <row r="70" spans="5:8">
      <c r="E70" s="1864"/>
      <c r="F70" s="1864"/>
      <c r="G70" s="1864"/>
      <c r="H70" s="1867"/>
    </row>
    <row r="71" spans="5:8">
      <c r="E71" s="1864"/>
      <c r="F71" s="1864"/>
      <c r="G71" s="1864"/>
      <c r="H71" s="1867"/>
    </row>
    <row r="72" spans="5:8">
      <c r="E72" s="1864"/>
      <c r="F72" s="1864"/>
      <c r="G72" s="1864"/>
      <c r="H72" s="1867"/>
    </row>
    <row r="73" spans="5:8">
      <c r="E73" s="1864"/>
      <c r="F73" s="1864"/>
      <c r="G73" s="1864"/>
      <c r="H73" s="1867"/>
    </row>
    <row r="74" spans="5:8">
      <c r="E74" s="1864"/>
      <c r="F74" s="1864"/>
      <c r="G74" s="1864"/>
      <c r="H74" s="1867"/>
    </row>
    <row r="75" spans="5:8">
      <c r="E75" s="1864"/>
      <c r="F75" s="1864"/>
      <c r="G75" s="1864"/>
      <c r="H75" s="1867"/>
    </row>
    <row r="76" spans="5:8">
      <c r="E76" s="1864"/>
      <c r="F76" s="1864"/>
      <c r="G76" s="1864"/>
      <c r="H76" s="1867"/>
    </row>
    <row r="77" spans="5:8">
      <c r="E77" s="1864"/>
      <c r="F77" s="1864"/>
      <c r="G77" s="1864"/>
      <c r="H77" s="1867"/>
    </row>
    <row r="78" spans="5:8">
      <c r="E78" s="1864"/>
      <c r="F78" s="1864"/>
      <c r="G78" s="1864"/>
      <c r="H78" s="1867"/>
    </row>
    <row r="79" spans="5:8">
      <c r="E79" s="1864"/>
      <c r="F79" s="1864"/>
      <c r="G79" s="1864"/>
      <c r="H79" s="1867"/>
    </row>
    <row r="80" spans="5:8">
      <c r="E80" s="1864"/>
      <c r="F80" s="1864"/>
      <c r="G80" s="1864"/>
      <c r="H80" s="1867"/>
    </row>
    <row r="81" spans="5:8">
      <c r="E81" s="1864"/>
      <c r="F81" s="1864"/>
      <c r="G81" s="1864"/>
      <c r="H81" s="1867"/>
    </row>
    <row r="82" spans="5:8">
      <c r="E82" s="1864"/>
      <c r="F82" s="1864"/>
      <c r="G82" s="1864"/>
      <c r="H82" s="1867"/>
    </row>
    <row r="83" spans="5:8">
      <c r="E83" s="1864"/>
      <c r="F83" s="1864"/>
      <c r="G83" s="1864"/>
      <c r="H83" s="1867"/>
    </row>
    <row r="84" spans="5:8">
      <c r="E84" s="1864"/>
      <c r="F84" s="1864"/>
      <c r="G84" s="1864"/>
      <c r="H84" s="1867"/>
    </row>
    <row r="85" spans="5:8">
      <c r="E85" s="1864"/>
      <c r="F85" s="1864"/>
      <c r="G85" s="1864"/>
      <c r="H85" s="1867"/>
    </row>
    <row r="86" spans="5:8">
      <c r="E86" s="1864"/>
      <c r="F86" s="1864"/>
      <c r="G86" s="1864"/>
      <c r="H86" s="1867"/>
    </row>
    <row r="87" spans="5:8">
      <c r="E87" s="1864"/>
      <c r="F87" s="1864"/>
      <c r="G87" s="1864"/>
      <c r="H87" s="1867"/>
    </row>
    <row r="88" spans="5:8">
      <c r="E88" s="1864"/>
      <c r="F88" s="1864"/>
      <c r="G88" s="1864"/>
      <c r="H88" s="1867"/>
    </row>
    <row r="89" spans="5:8">
      <c r="E89" s="1864"/>
      <c r="F89" s="1864"/>
      <c r="G89" s="1864"/>
      <c r="H89" s="1867"/>
    </row>
    <row r="90" spans="5:8">
      <c r="E90" s="1864"/>
      <c r="F90" s="1864"/>
      <c r="G90" s="1864"/>
      <c r="H90" s="1867"/>
    </row>
    <row r="91" spans="5:8">
      <c r="E91" s="1864"/>
      <c r="F91" s="1864"/>
      <c r="G91" s="1864"/>
      <c r="H91" s="1867"/>
    </row>
    <row r="92" spans="5:8">
      <c r="E92" s="1864"/>
      <c r="F92" s="1864"/>
      <c r="G92" s="1864"/>
      <c r="H92" s="1867"/>
    </row>
    <row r="93" spans="5:8">
      <c r="E93" s="1864"/>
      <c r="F93" s="1864"/>
      <c r="G93" s="1864"/>
      <c r="H93" s="1867"/>
    </row>
    <row r="94" spans="5:8">
      <c r="E94" s="1864"/>
      <c r="F94" s="1864"/>
      <c r="G94" s="1864"/>
      <c r="H94" s="1867"/>
    </row>
    <row r="95" spans="5:8">
      <c r="E95" s="1864"/>
      <c r="F95" s="1864"/>
      <c r="G95" s="1864"/>
      <c r="H95" s="1867"/>
    </row>
    <row r="96" spans="5:8">
      <c r="E96" s="1864"/>
      <c r="F96" s="1864"/>
      <c r="G96" s="1864"/>
      <c r="H96" s="1867"/>
    </row>
    <row r="97" spans="5:8">
      <c r="E97" s="1864"/>
      <c r="F97" s="1864"/>
      <c r="G97" s="1864"/>
      <c r="H97" s="1867"/>
    </row>
    <row r="98" spans="5:8">
      <c r="E98" s="1864"/>
      <c r="F98" s="1864"/>
      <c r="G98" s="1864"/>
      <c r="H98" s="1867"/>
    </row>
    <row r="99" spans="5:8">
      <c r="E99" s="1864"/>
      <c r="F99" s="1864"/>
      <c r="G99" s="1864"/>
      <c r="H99" s="1867"/>
    </row>
    <row r="100" spans="5:8">
      <c r="E100" s="1864"/>
      <c r="F100" s="1864"/>
      <c r="G100" s="1864"/>
      <c r="H100" s="1867"/>
    </row>
    <row r="101" spans="5:8">
      <c r="E101" s="1864"/>
      <c r="F101" s="1864"/>
      <c r="G101" s="1864"/>
      <c r="H101" s="1867"/>
    </row>
    <row r="102" spans="5:8">
      <c r="E102" s="1864"/>
      <c r="F102" s="1864"/>
      <c r="G102" s="1864"/>
      <c r="H102" s="1867"/>
    </row>
    <row r="103" spans="5:8">
      <c r="E103" s="1864"/>
      <c r="F103" s="1864"/>
      <c r="G103" s="1864"/>
      <c r="H103" s="1867"/>
    </row>
    <row r="104" spans="5:8">
      <c r="E104" s="1864"/>
      <c r="F104" s="1864"/>
      <c r="G104" s="1864"/>
      <c r="H104" s="1867"/>
    </row>
    <row r="105" spans="5:8">
      <c r="E105" s="1864"/>
      <c r="F105" s="1864"/>
      <c r="G105" s="1864"/>
      <c r="H105" s="1867"/>
    </row>
    <row r="106" spans="5:8">
      <c r="E106" s="1864"/>
      <c r="F106" s="1864"/>
      <c r="G106" s="1864"/>
      <c r="H106" s="1867"/>
    </row>
    <row r="107" spans="5:8">
      <c r="E107" s="1864"/>
      <c r="F107" s="1864"/>
      <c r="G107" s="1864"/>
      <c r="H107" s="1867"/>
    </row>
    <row r="108" spans="5:8">
      <c r="E108" s="1864"/>
      <c r="F108" s="1864"/>
      <c r="G108" s="1864"/>
      <c r="H108" s="1867"/>
    </row>
    <row r="109" spans="5:8">
      <c r="E109" s="1864"/>
      <c r="F109" s="1864"/>
      <c r="G109" s="1864"/>
      <c r="H109" s="1867"/>
    </row>
    <row r="110" spans="5:8">
      <c r="E110" s="1864"/>
      <c r="F110" s="1864"/>
      <c r="G110" s="1864"/>
      <c r="H110" s="1867"/>
    </row>
    <row r="111" spans="5:8">
      <c r="E111" s="1864"/>
      <c r="F111" s="1864"/>
      <c r="G111" s="1864"/>
      <c r="H111" s="1867"/>
    </row>
    <row r="112" spans="5:8">
      <c r="E112" s="1864"/>
      <c r="F112" s="1864"/>
      <c r="G112" s="1864"/>
      <c r="H112" s="1867"/>
    </row>
    <row r="113" spans="5:8">
      <c r="E113" s="1864"/>
      <c r="F113" s="1864"/>
      <c r="G113" s="1864"/>
      <c r="H113" s="1867"/>
    </row>
    <row r="114" spans="5:8">
      <c r="E114" s="1864"/>
      <c r="F114" s="1864"/>
      <c r="G114" s="1864"/>
      <c r="H114" s="1867"/>
    </row>
    <row r="115" spans="5:8">
      <c r="E115" s="1864"/>
      <c r="F115" s="1864"/>
      <c r="G115" s="1864"/>
      <c r="H115" s="1867"/>
    </row>
    <row r="116" spans="5:8">
      <c r="E116" s="1864"/>
      <c r="F116" s="1864"/>
      <c r="G116" s="1864"/>
      <c r="H116" s="1867"/>
    </row>
    <row r="117" spans="5:8">
      <c r="E117" s="1864"/>
      <c r="F117" s="1864"/>
      <c r="G117" s="1864"/>
      <c r="H117" s="1867"/>
    </row>
    <row r="118" spans="5:8">
      <c r="E118" s="1864"/>
      <c r="F118" s="1864"/>
      <c r="G118" s="1864"/>
      <c r="H118" s="1867"/>
    </row>
    <row r="119" spans="5:8">
      <c r="E119" s="1864"/>
      <c r="F119" s="1864"/>
      <c r="G119" s="1864"/>
      <c r="H119" s="1867"/>
    </row>
    <row r="120" spans="5:8">
      <c r="E120" s="1864"/>
      <c r="F120" s="1864"/>
      <c r="G120" s="1864"/>
      <c r="H120" s="1867"/>
    </row>
    <row r="121" spans="5:8">
      <c r="E121" s="1864"/>
      <c r="F121" s="1864"/>
      <c r="G121" s="1864"/>
      <c r="H121" s="1867"/>
    </row>
    <row r="122" spans="5:8">
      <c r="E122" s="1864"/>
      <c r="F122" s="1864"/>
      <c r="G122" s="1864"/>
      <c r="H122" s="1867"/>
    </row>
    <row r="123" spans="5:8">
      <c r="E123" s="1864"/>
      <c r="F123" s="1864"/>
      <c r="G123" s="1864"/>
      <c r="H123" s="1867"/>
    </row>
    <row r="124" spans="5:8">
      <c r="E124" s="1864"/>
      <c r="F124" s="1864"/>
      <c r="G124" s="1864"/>
      <c r="H124" s="1867"/>
    </row>
    <row r="125" spans="5:8">
      <c r="E125" s="1864"/>
      <c r="F125" s="1864"/>
      <c r="G125" s="1864"/>
      <c r="H125" s="1867"/>
    </row>
    <row r="126" spans="5:8">
      <c r="E126" s="1864"/>
      <c r="F126" s="1864"/>
      <c r="G126" s="1864"/>
      <c r="H126" s="1867"/>
    </row>
    <row r="127" spans="5:8">
      <c r="E127" s="1864"/>
      <c r="F127" s="1864"/>
      <c r="G127" s="1864"/>
      <c r="H127" s="1867"/>
    </row>
    <row r="128" spans="5:8">
      <c r="E128" s="1864"/>
      <c r="F128" s="1864"/>
      <c r="G128" s="1864"/>
      <c r="H128" s="1867"/>
    </row>
    <row r="129" spans="5:8">
      <c r="E129" s="1864"/>
      <c r="F129" s="1864"/>
      <c r="G129" s="1864"/>
      <c r="H129" s="1867"/>
    </row>
    <row r="130" spans="5:8">
      <c r="E130" s="1864"/>
      <c r="F130" s="1864"/>
      <c r="G130" s="1864"/>
      <c r="H130" s="1867"/>
    </row>
    <row r="131" spans="5:8">
      <c r="E131" s="1864"/>
      <c r="F131" s="1864"/>
      <c r="G131" s="1864"/>
      <c r="H131" s="1867"/>
    </row>
    <row r="132" spans="5:8">
      <c r="E132" s="1864"/>
      <c r="F132" s="1864"/>
      <c r="G132" s="1864"/>
      <c r="H132" s="1867"/>
    </row>
    <row r="133" spans="5:8">
      <c r="E133" s="1864"/>
      <c r="F133" s="1864"/>
      <c r="G133" s="1864"/>
      <c r="H133" s="1867"/>
    </row>
    <row r="134" spans="5:8">
      <c r="E134" s="1864"/>
      <c r="F134" s="1864"/>
      <c r="G134" s="1864"/>
      <c r="H134" s="1867"/>
    </row>
    <row r="135" spans="5:8">
      <c r="E135" s="1864"/>
      <c r="F135" s="1864"/>
      <c r="G135" s="1864"/>
      <c r="H135" s="1867"/>
    </row>
    <row r="136" spans="5:8">
      <c r="E136" s="1864"/>
      <c r="F136" s="1864"/>
      <c r="G136" s="1864"/>
      <c r="H136" s="1867"/>
    </row>
    <row r="137" spans="5:8">
      <c r="E137" s="1864"/>
      <c r="F137" s="1864"/>
      <c r="G137" s="1864"/>
      <c r="H137" s="1867"/>
    </row>
    <row r="138" spans="5:8">
      <c r="E138" s="1864"/>
      <c r="F138" s="1864"/>
      <c r="G138" s="1864"/>
      <c r="H138" s="1867"/>
    </row>
    <row r="139" spans="5:8">
      <c r="E139" s="1864"/>
      <c r="F139" s="1864"/>
      <c r="G139" s="1864"/>
      <c r="H139" s="1867"/>
    </row>
    <row r="140" spans="5:8">
      <c r="E140" s="1864"/>
      <c r="F140" s="1864"/>
      <c r="G140" s="1864"/>
      <c r="H140" s="1867"/>
    </row>
    <row r="141" spans="5:8">
      <c r="E141" s="1864"/>
      <c r="F141" s="1864"/>
      <c r="G141" s="1864"/>
      <c r="H141" s="1867"/>
    </row>
    <row r="142" spans="5:8">
      <c r="E142" s="1864"/>
      <c r="F142" s="1864"/>
      <c r="G142" s="1864"/>
      <c r="H142" s="1867"/>
    </row>
    <row r="143" spans="5:8">
      <c r="E143" s="1864"/>
      <c r="F143" s="1864"/>
      <c r="G143" s="1864"/>
      <c r="H143" s="1867"/>
    </row>
    <row r="144" spans="5:8">
      <c r="E144" s="1864"/>
      <c r="F144" s="1864"/>
      <c r="G144" s="1864"/>
      <c r="H144" s="1867"/>
    </row>
    <row r="145" spans="5:8">
      <c r="E145" s="1864"/>
      <c r="F145" s="1864"/>
      <c r="G145" s="1864"/>
      <c r="H145" s="1867"/>
    </row>
    <row r="146" spans="5:8">
      <c r="E146" s="1864"/>
      <c r="F146" s="1864"/>
      <c r="G146" s="1864"/>
      <c r="H146" s="1867"/>
    </row>
    <row r="147" spans="5:8">
      <c r="E147" s="1864"/>
      <c r="F147" s="1864"/>
      <c r="G147" s="1864"/>
      <c r="H147" s="1867"/>
    </row>
    <row r="148" spans="5:8">
      <c r="E148" s="1864"/>
      <c r="F148" s="1864"/>
      <c r="G148" s="1864"/>
      <c r="H148" s="1867"/>
    </row>
    <row r="149" spans="5:8">
      <c r="E149" s="1864"/>
      <c r="F149" s="1864"/>
      <c r="G149" s="1864"/>
      <c r="H149" s="1867"/>
    </row>
    <row r="150" spans="5:8">
      <c r="E150" s="1864"/>
      <c r="F150" s="1864"/>
      <c r="G150" s="1864"/>
      <c r="H150" s="1867"/>
    </row>
    <row r="151" spans="5:8">
      <c r="E151" s="1864"/>
      <c r="F151" s="1864"/>
      <c r="G151" s="1864"/>
      <c r="H151" s="1867"/>
    </row>
    <row r="152" spans="5:8">
      <c r="E152" s="1864"/>
      <c r="F152" s="1864"/>
      <c r="G152" s="1864"/>
      <c r="H152" s="1867"/>
    </row>
    <row r="153" spans="5:8">
      <c r="E153" s="1864"/>
      <c r="F153" s="1864"/>
      <c r="G153" s="1864"/>
      <c r="H153" s="1867"/>
    </row>
    <row r="154" spans="5:8">
      <c r="E154" s="1864"/>
      <c r="F154" s="1864"/>
      <c r="G154" s="1864"/>
      <c r="H154" s="1867"/>
    </row>
    <row r="155" spans="5:8">
      <c r="E155" s="1864"/>
      <c r="F155" s="1864"/>
      <c r="G155" s="1864"/>
      <c r="H155" s="1867"/>
    </row>
    <row r="156" spans="5:8">
      <c r="E156" s="1864"/>
      <c r="F156" s="1864"/>
      <c r="G156" s="1864"/>
      <c r="H156" s="1867"/>
    </row>
    <row r="157" spans="5:8">
      <c r="E157" s="1864"/>
      <c r="F157" s="1864"/>
      <c r="G157" s="1864"/>
      <c r="H157" s="1867"/>
    </row>
    <row r="158" spans="5:8">
      <c r="E158" s="1864"/>
      <c r="F158" s="1864"/>
      <c r="G158" s="1864"/>
      <c r="H158" s="1867"/>
    </row>
    <row r="159" spans="5:8">
      <c r="E159" s="1864"/>
      <c r="F159" s="1864"/>
      <c r="G159" s="1864"/>
      <c r="H159" s="1867"/>
    </row>
    <row r="160" spans="5:8">
      <c r="E160" s="1864"/>
      <c r="F160" s="1864"/>
      <c r="G160" s="1864"/>
      <c r="H160" s="1867"/>
    </row>
    <row r="161" spans="5:8">
      <c r="E161" s="1864"/>
      <c r="F161" s="1864"/>
      <c r="G161" s="1864"/>
      <c r="H161" s="1867"/>
    </row>
    <row r="162" spans="5:8">
      <c r="E162" s="1864"/>
      <c r="F162" s="1864"/>
      <c r="G162" s="1864"/>
      <c r="H162" s="1867"/>
    </row>
    <row r="163" spans="5:8">
      <c r="E163" s="1864"/>
      <c r="F163" s="1864"/>
      <c r="G163" s="1864"/>
      <c r="H163" s="1867"/>
    </row>
    <row r="164" spans="5:8">
      <c r="E164" s="1864"/>
      <c r="F164" s="1864"/>
      <c r="G164" s="1864"/>
      <c r="H164" s="1867"/>
    </row>
    <row r="165" spans="5:8">
      <c r="E165" s="1864"/>
      <c r="F165" s="1864"/>
      <c r="G165" s="1864"/>
      <c r="H165" s="1867"/>
    </row>
    <row r="166" spans="5:8">
      <c r="E166" s="1864"/>
      <c r="F166" s="1864"/>
      <c r="G166" s="1864"/>
      <c r="H166" s="1867"/>
    </row>
    <row r="167" spans="5:8">
      <c r="E167" s="1864"/>
      <c r="F167" s="1864"/>
      <c r="G167" s="1864"/>
      <c r="H167" s="1867"/>
    </row>
    <row r="168" spans="5:8">
      <c r="E168" s="1864"/>
      <c r="F168" s="1864"/>
      <c r="G168" s="1864"/>
      <c r="H168" s="1867"/>
    </row>
    <row r="169" spans="5:8">
      <c r="E169" s="1864"/>
      <c r="F169" s="1864"/>
      <c r="G169" s="1864"/>
      <c r="H169" s="1867"/>
    </row>
    <row r="170" spans="5:8">
      <c r="E170" s="1864"/>
      <c r="F170" s="1864"/>
      <c r="G170" s="1864"/>
      <c r="H170" s="1867"/>
    </row>
    <row r="171" spans="5:8">
      <c r="E171" s="1864"/>
      <c r="F171" s="1864"/>
      <c r="G171" s="1864"/>
      <c r="H171" s="1867"/>
    </row>
    <row r="172" spans="5:8">
      <c r="E172" s="1864"/>
      <c r="F172" s="1864"/>
      <c r="G172" s="1864"/>
      <c r="H172" s="1867"/>
    </row>
    <row r="173" spans="5:8">
      <c r="E173" s="1864"/>
      <c r="F173" s="1864"/>
      <c r="G173" s="1864"/>
      <c r="H173" s="1867"/>
    </row>
    <row r="174" spans="5:8">
      <c r="E174" s="1864"/>
      <c r="F174" s="1864"/>
      <c r="G174" s="1864"/>
      <c r="H174" s="1867"/>
    </row>
    <row r="175" spans="5:8">
      <c r="E175" s="1864"/>
      <c r="F175" s="1864"/>
      <c r="G175" s="1864"/>
      <c r="H175" s="1867"/>
    </row>
    <row r="176" spans="5:8">
      <c r="E176" s="1864"/>
      <c r="F176" s="1864"/>
      <c r="G176" s="1864"/>
      <c r="H176" s="1867"/>
    </row>
    <row r="177" spans="5:8">
      <c r="E177" s="1864"/>
      <c r="F177" s="1864"/>
      <c r="G177" s="1864"/>
      <c r="H177" s="1867"/>
    </row>
    <row r="178" spans="5:8">
      <c r="E178" s="1864"/>
      <c r="F178" s="1864"/>
      <c r="G178" s="1864"/>
      <c r="H178" s="1867"/>
    </row>
    <row r="179" spans="5:8">
      <c r="E179" s="1864"/>
      <c r="F179" s="1864"/>
      <c r="G179" s="1864"/>
      <c r="H179" s="1867"/>
    </row>
    <row r="180" spans="5:8">
      <c r="E180" s="1864"/>
      <c r="F180" s="1864"/>
      <c r="G180" s="1864"/>
      <c r="H180" s="1867"/>
    </row>
    <row r="181" spans="5:8">
      <c r="E181" s="1864"/>
      <c r="F181" s="1864"/>
      <c r="G181" s="1864"/>
      <c r="H181" s="1867"/>
    </row>
    <row r="182" spans="5:8">
      <c r="E182" s="1864"/>
      <c r="F182" s="1864"/>
      <c r="G182" s="1864"/>
      <c r="H182" s="1867"/>
    </row>
    <row r="183" spans="5:8">
      <c r="E183" s="1864"/>
      <c r="F183" s="1864"/>
      <c r="G183" s="1864"/>
      <c r="H183" s="1867"/>
    </row>
    <row r="184" spans="5:8">
      <c r="E184" s="1864"/>
      <c r="F184" s="1864"/>
      <c r="G184" s="1864"/>
      <c r="H184" s="1867"/>
    </row>
    <row r="185" spans="5:8">
      <c r="E185" s="1864"/>
      <c r="F185" s="1864"/>
      <c r="G185" s="1864"/>
      <c r="H185" s="1867"/>
    </row>
    <row r="186" spans="5:8">
      <c r="E186" s="1864"/>
      <c r="F186" s="1864"/>
      <c r="G186" s="1864"/>
      <c r="H186" s="1867"/>
    </row>
    <row r="187" spans="5:8">
      <c r="E187" s="1864"/>
      <c r="F187" s="1864"/>
      <c r="G187" s="1864"/>
      <c r="H187" s="1867"/>
    </row>
    <row r="188" spans="5:8">
      <c r="E188" s="1864"/>
      <c r="F188" s="1864"/>
      <c r="G188" s="1864"/>
      <c r="H188" s="1867"/>
    </row>
    <row r="189" spans="5:8">
      <c r="E189" s="1864"/>
      <c r="F189" s="1864"/>
      <c r="G189" s="1864"/>
      <c r="H189" s="1867"/>
    </row>
    <row r="190" spans="5:8">
      <c r="E190" s="1864"/>
      <c r="F190" s="1864"/>
      <c r="G190" s="1864"/>
      <c r="H190" s="1867"/>
    </row>
    <row r="191" spans="5:8">
      <c r="E191" s="1864"/>
      <c r="F191" s="1864"/>
      <c r="G191" s="1864"/>
      <c r="H191" s="1867"/>
    </row>
    <row r="192" spans="5:8">
      <c r="E192" s="1864"/>
      <c r="F192" s="1864"/>
      <c r="G192" s="1864"/>
      <c r="H192" s="1867"/>
    </row>
    <row r="193" spans="5:8">
      <c r="E193" s="1864"/>
      <c r="F193" s="1864"/>
      <c r="G193" s="1864"/>
      <c r="H193" s="1867"/>
    </row>
    <row r="194" spans="5:8">
      <c r="E194" s="1864"/>
      <c r="F194" s="1864"/>
      <c r="G194" s="1864"/>
      <c r="H194" s="1867"/>
    </row>
    <row r="195" spans="5:8">
      <c r="E195" s="1864"/>
      <c r="F195" s="1864"/>
      <c r="G195" s="1864"/>
      <c r="H195" s="1867"/>
    </row>
    <row r="196" spans="5:8">
      <c r="E196" s="1864"/>
      <c r="F196" s="1864"/>
      <c r="G196" s="1864"/>
      <c r="H196" s="1867"/>
    </row>
    <row r="197" spans="5:8">
      <c r="E197" s="1864"/>
      <c r="F197" s="1864"/>
      <c r="G197" s="1864"/>
      <c r="H197" s="1867"/>
    </row>
    <row r="198" spans="5:8">
      <c r="E198" s="1864"/>
      <c r="F198" s="1864"/>
      <c r="G198" s="1864"/>
      <c r="H198" s="1867"/>
    </row>
    <row r="199" spans="5:8">
      <c r="E199" s="1864"/>
      <c r="F199" s="1864"/>
      <c r="G199" s="1864"/>
      <c r="H199" s="1867"/>
    </row>
    <row r="200" spans="5:8">
      <c r="E200" s="1864"/>
      <c r="F200" s="1864"/>
      <c r="G200" s="1864"/>
      <c r="H200" s="1867"/>
    </row>
    <row r="201" spans="5:8">
      <c r="E201" s="1864"/>
      <c r="F201" s="1864"/>
      <c r="G201" s="1864"/>
      <c r="H201" s="1867"/>
    </row>
    <row r="202" spans="5:8">
      <c r="E202" s="1864"/>
      <c r="F202" s="1864"/>
      <c r="G202" s="1864"/>
      <c r="H202" s="1867"/>
    </row>
    <row r="203" spans="5:8">
      <c r="E203" s="1864"/>
      <c r="F203" s="1864"/>
      <c r="G203" s="1864"/>
      <c r="H203" s="1867"/>
    </row>
    <row r="204" spans="5:8">
      <c r="E204" s="1864"/>
      <c r="F204" s="1864"/>
      <c r="G204" s="1864"/>
      <c r="H204" s="1867"/>
    </row>
    <row r="205" spans="5:8">
      <c r="E205" s="1864"/>
      <c r="F205" s="1864"/>
      <c r="G205" s="1864"/>
      <c r="H205" s="1867"/>
    </row>
    <row r="206" spans="5:8">
      <c r="E206" s="1864"/>
      <c r="F206" s="1864"/>
      <c r="G206" s="1864"/>
      <c r="H206" s="1867"/>
    </row>
    <row r="207" spans="5:8">
      <c r="E207" s="1864"/>
      <c r="F207" s="1864"/>
      <c r="G207" s="1864"/>
      <c r="H207" s="1867"/>
    </row>
    <row r="208" spans="5:8">
      <c r="E208" s="1864"/>
      <c r="F208" s="1864"/>
      <c r="G208" s="1864"/>
      <c r="H208" s="1867"/>
    </row>
    <row r="209" spans="5:8">
      <c r="E209" s="1864"/>
      <c r="F209" s="1864"/>
      <c r="G209" s="1864"/>
      <c r="H209" s="1867"/>
    </row>
    <row r="210" spans="5:8">
      <c r="E210" s="1864"/>
      <c r="F210" s="1864"/>
      <c r="G210" s="1864"/>
      <c r="H210" s="1867"/>
    </row>
    <row r="211" spans="5:8">
      <c r="E211" s="1864"/>
      <c r="F211" s="1864"/>
      <c r="G211" s="1864"/>
      <c r="H211" s="1867"/>
    </row>
    <row r="212" spans="5:8">
      <c r="E212" s="1864"/>
      <c r="F212" s="1864"/>
      <c r="G212" s="1864"/>
      <c r="H212" s="1867"/>
    </row>
    <row r="213" spans="5:8">
      <c r="E213" s="1864"/>
      <c r="F213" s="1864"/>
      <c r="G213" s="1864"/>
      <c r="H213" s="1867"/>
    </row>
    <row r="214" spans="5:8">
      <c r="E214" s="1864"/>
      <c r="F214" s="1864"/>
      <c r="G214" s="1864"/>
      <c r="H214" s="1867"/>
    </row>
    <row r="215" spans="5:8">
      <c r="E215" s="1864"/>
      <c r="F215" s="1864"/>
      <c r="G215" s="1864"/>
      <c r="H215" s="1867"/>
    </row>
    <row r="216" spans="5:8">
      <c r="E216" s="1864"/>
      <c r="F216" s="1864"/>
      <c r="G216" s="1864"/>
      <c r="H216" s="1867"/>
    </row>
    <row r="217" spans="5:8">
      <c r="E217" s="1864"/>
      <c r="F217" s="1864"/>
      <c r="G217" s="1864"/>
      <c r="H217" s="1867"/>
    </row>
    <row r="218" spans="5:8">
      <c r="E218" s="1864"/>
      <c r="F218" s="1864"/>
      <c r="G218" s="1864"/>
      <c r="H218" s="1867"/>
    </row>
    <row r="219" spans="5:8">
      <c r="E219" s="1864"/>
      <c r="F219" s="1864"/>
      <c r="G219" s="1864"/>
      <c r="H219" s="1867"/>
    </row>
    <row r="220" spans="5:8">
      <c r="E220" s="1864"/>
      <c r="F220" s="1864"/>
      <c r="G220" s="1864"/>
      <c r="H220" s="1867"/>
    </row>
    <row r="221" spans="5:8">
      <c r="E221" s="1864"/>
      <c r="F221" s="1864"/>
      <c r="G221" s="1864"/>
      <c r="H221" s="1867"/>
    </row>
    <row r="222" spans="5:8">
      <c r="E222" s="1864"/>
      <c r="F222" s="1864"/>
      <c r="G222" s="1864"/>
      <c r="H222" s="1867"/>
    </row>
    <row r="223" spans="5:8">
      <c r="E223" s="1864"/>
      <c r="F223" s="1864"/>
      <c r="G223" s="1864"/>
      <c r="H223" s="1867"/>
    </row>
    <row r="224" spans="5:8">
      <c r="E224" s="1864"/>
      <c r="F224" s="1864"/>
      <c r="G224" s="1864"/>
      <c r="H224" s="1867"/>
    </row>
    <row r="225" spans="5:8">
      <c r="E225" s="1864"/>
      <c r="F225" s="1864"/>
      <c r="G225" s="1864"/>
      <c r="H225" s="1867"/>
    </row>
    <row r="226" spans="5:8">
      <c r="E226" s="1864"/>
      <c r="F226" s="1864"/>
      <c r="G226" s="1864"/>
      <c r="H226" s="1867"/>
    </row>
    <row r="227" spans="5:8">
      <c r="E227" s="1864"/>
      <c r="F227" s="1864"/>
      <c r="G227" s="1864"/>
      <c r="H227" s="1867"/>
    </row>
    <row r="228" spans="5:8">
      <c r="E228" s="1864"/>
      <c r="F228" s="1864"/>
      <c r="G228" s="1864"/>
      <c r="H228" s="1867"/>
    </row>
    <row r="229" spans="5:8">
      <c r="E229" s="1864"/>
      <c r="F229" s="1864"/>
      <c r="G229" s="1864"/>
      <c r="H229" s="1867"/>
    </row>
    <row r="230" spans="5:8">
      <c r="E230" s="1864"/>
      <c r="F230" s="1864"/>
      <c r="G230" s="1864"/>
      <c r="H230" s="1867"/>
    </row>
    <row r="231" spans="5:8">
      <c r="E231" s="1864"/>
      <c r="F231" s="1864"/>
      <c r="G231" s="1864"/>
      <c r="H231" s="1867"/>
    </row>
    <row r="232" spans="5:8">
      <c r="E232" s="1864"/>
      <c r="F232" s="1864"/>
      <c r="G232" s="1864"/>
      <c r="H232" s="1867"/>
    </row>
    <row r="233" spans="5:8">
      <c r="E233" s="1864"/>
      <c r="F233" s="1864"/>
      <c r="G233" s="1864"/>
      <c r="H233" s="1867"/>
    </row>
    <row r="234" spans="5:8">
      <c r="E234" s="1864"/>
      <c r="F234" s="1864"/>
      <c r="G234" s="1864"/>
      <c r="H234" s="1867"/>
    </row>
    <row r="235" spans="5:8">
      <c r="E235" s="1864"/>
      <c r="F235" s="1864"/>
      <c r="G235" s="1864"/>
      <c r="H235" s="1867"/>
    </row>
    <row r="236" spans="5:8">
      <c r="E236" s="1864"/>
      <c r="F236" s="1864"/>
      <c r="G236" s="1864"/>
      <c r="H236" s="1867"/>
    </row>
    <row r="237" spans="5:8">
      <c r="E237" s="1864"/>
      <c r="F237" s="1864"/>
      <c r="G237" s="1864"/>
      <c r="H237" s="1867"/>
    </row>
    <row r="238" spans="5:8">
      <c r="E238" s="1864"/>
      <c r="F238" s="1864"/>
      <c r="G238" s="1864"/>
      <c r="H238" s="1867"/>
    </row>
    <row r="239" spans="5:8">
      <c r="E239" s="1864"/>
      <c r="F239" s="1864"/>
      <c r="G239" s="1864"/>
      <c r="H239" s="1867"/>
    </row>
    <row r="240" spans="5:8">
      <c r="E240" s="1864"/>
      <c r="F240" s="1864"/>
      <c r="G240" s="1864"/>
      <c r="H240" s="1867"/>
    </row>
    <row r="241" spans="5:8">
      <c r="E241" s="1864"/>
      <c r="F241" s="1864"/>
      <c r="G241" s="1864"/>
      <c r="H241" s="1867"/>
    </row>
    <row r="242" spans="5:8">
      <c r="E242" s="1864"/>
      <c r="F242" s="1864"/>
      <c r="G242" s="1864"/>
      <c r="H242" s="1867"/>
    </row>
    <row r="243" spans="5:8">
      <c r="E243" s="1864"/>
      <c r="F243" s="1864"/>
      <c r="G243" s="1864"/>
      <c r="H243" s="1867"/>
    </row>
    <row r="244" spans="5:8">
      <c r="E244" s="1864"/>
      <c r="F244" s="1864"/>
      <c r="G244" s="1864"/>
      <c r="H244" s="1867"/>
    </row>
    <row r="245" spans="5:8">
      <c r="E245" s="1864"/>
      <c r="F245" s="1864"/>
      <c r="G245" s="1864"/>
      <c r="H245" s="1867"/>
    </row>
    <row r="246" spans="5:8">
      <c r="E246" s="1864"/>
      <c r="F246" s="1864"/>
      <c r="G246" s="1864"/>
      <c r="H246" s="1867"/>
    </row>
    <row r="247" spans="5:8">
      <c r="E247" s="1864"/>
      <c r="F247" s="1864"/>
      <c r="G247" s="1864"/>
      <c r="H247" s="1867"/>
    </row>
    <row r="248" spans="5:8">
      <c r="E248" s="1864"/>
      <c r="F248" s="1864"/>
      <c r="G248" s="1864"/>
      <c r="H248" s="1867"/>
    </row>
    <row r="249" spans="5:8">
      <c r="E249" s="1864"/>
      <c r="F249" s="1864"/>
      <c r="G249" s="1864"/>
      <c r="H249" s="1867"/>
    </row>
    <row r="250" spans="5:8">
      <c r="E250" s="1864"/>
      <c r="F250" s="1864"/>
      <c r="G250" s="1864"/>
      <c r="H250" s="1867"/>
    </row>
    <row r="251" spans="5:8">
      <c r="E251" s="1864"/>
      <c r="F251" s="1864"/>
      <c r="G251" s="1864"/>
      <c r="H251" s="1867"/>
    </row>
    <row r="252" spans="5:8">
      <c r="E252" s="1864"/>
      <c r="F252" s="1864"/>
      <c r="G252" s="1864"/>
      <c r="H252" s="1867"/>
    </row>
    <row r="253" spans="5:8">
      <c r="E253" s="1864"/>
      <c r="F253" s="1864"/>
      <c r="G253" s="1864"/>
      <c r="H253" s="1867"/>
    </row>
    <row r="254" spans="5:8">
      <c r="E254" s="1864"/>
      <c r="F254" s="1864"/>
      <c r="G254" s="1864"/>
      <c r="H254" s="1867"/>
    </row>
    <row r="255" spans="5:8">
      <c r="E255" s="1864"/>
      <c r="F255" s="1864"/>
      <c r="G255" s="1864"/>
      <c r="H255" s="1867"/>
    </row>
    <row r="256" spans="5:8">
      <c r="E256" s="1864"/>
      <c r="F256" s="1864"/>
      <c r="G256" s="1864"/>
      <c r="H256" s="1867"/>
    </row>
    <row r="257" spans="5:8">
      <c r="E257" s="1864"/>
      <c r="F257" s="1864"/>
      <c r="G257" s="1864"/>
      <c r="H257" s="1867"/>
    </row>
    <row r="258" spans="5:8">
      <c r="E258" s="1864"/>
      <c r="F258" s="1864"/>
      <c r="G258" s="1864"/>
      <c r="H258" s="1867"/>
    </row>
    <row r="259" spans="5:8">
      <c r="E259" s="1864"/>
      <c r="F259" s="1864"/>
      <c r="G259" s="1864"/>
      <c r="H259" s="1867"/>
    </row>
    <row r="260" spans="5:8">
      <c r="E260" s="1864"/>
      <c r="F260" s="1864"/>
      <c r="G260" s="1864"/>
      <c r="H260" s="1867"/>
    </row>
    <row r="261" spans="5:8">
      <c r="E261" s="1864"/>
      <c r="F261" s="1864"/>
      <c r="G261" s="1864"/>
      <c r="H261" s="1867"/>
    </row>
    <row r="262" spans="5:8">
      <c r="E262" s="1864"/>
      <c r="F262" s="1864"/>
      <c r="G262" s="1864"/>
      <c r="H262" s="1867"/>
    </row>
    <row r="263" spans="5:8">
      <c r="E263" s="1864"/>
      <c r="F263" s="1864"/>
      <c r="G263" s="1864"/>
      <c r="H263" s="1867"/>
    </row>
    <row r="264" spans="5:8">
      <c r="E264" s="1864"/>
      <c r="F264" s="1864"/>
      <c r="G264" s="1864"/>
      <c r="H264" s="1867"/>
    </row>
    <row r="265" spans="5:8">
      <c r="E265" s="1864"/>
      <c r="F265" s="1864"/>
      <c r="G265" s="1864"/>
      <c r="H265" s="1867"/>
    </row>
    <row r="266" spans="5:8">
      <c r="E266" s="1864"/>
      <c r="F266" s="1864"/>
      <c r="G266" s="1864"/>
      <c r="H266" s="1867"/>
    </row>
    <row r="267" spans="5:8">
      <c r="E267" s="1864"/>
      <c r="F267" s="1864"/>
      <c r="G267" s="1864"/>
      <c r="H267" s="1867"/>
    </row>
    <row r="268" spans="5:8">
      <c r="E268" s="1864"/>
      <c r="F268" s="1864"/>
      <c r="G268" s="1864"/>
      <c r="H268" s="1867"/>
    </row>
    <row r="269" spans="5:8">
      <c r="E269" s="1864"/>
      <c r="F269" s="1864"/>
      <c r="G269" s="1864"/>
      <c r="H269" s="1867"/>
    </row>
    <row r="270" spans="5:8">
      <c r="E270" s="1864"/>
      <c r="F270" s="1864"/>
      <c r="G270" s="1864"/>
      <c r="H270" s="1867"/>
    </row>
    <row r="271" spans="5:8">
      <c r="E271" s="1864"/>
      <c r="F271" s="1864"/>
      <c r="G271" s="1864"/>
      <c r="H271" s="1867"/>
    </row>
    <row r="272" spans="5:8">
      <c r="E272" s="1864"/>
      <c r="F272" s="1864"/>
      <c r="G272" s="1864"/>
      <c r="H272" s="1867"/>
    </row>
    <row r="273" spans="5:8">
      <c r="E273" s="1864"/>
      <c r="F273" s="1864"/>
      <c r="G273" s="1864"/>
      <c r="H273" s="1867"/>
    </row>
    <row r="274" spans="5:8">
      <c r="E274" s="1864"/>
      <c r="F274" s="1864"/>
      <c r="G274" s="1864"/>
      <c r="H274" s="1867"/>
    </row>
    <row r="275" spans="5:8">
      <c r="E275" s="1864"/>
      <c r="F275" s="1864"/>
      <c r="G275" s="1864"/>
      <c r="H275" s="1867"/>
    </row>
    <row r="276" spans="5:8">
      <c r="E276" s="1864"/>
      <c r="F276" s="1864"/>
      <c r="G276" s="1864"/>
      <c r="H276" s="1867"/>
    </row>
    <row r="277" spans="5:8">
      <c r="E277" s="1864"/>
      <c r="F277" s="1864"/>
      <c r="G277" s="1864"/>
      <c r="H277" s="1867"/>
    </row>
    <row r="278" spans="5:8">
      <c r="E278" s="1864"/>
      <c r="F278" s="1864"/>
      <c r="G278" s="1864"/>
      <c r="H278" s="1867"/>
    </row>
    <row r="279" spans="5:8">
      <c r="E279" s="1864"/>
      <c r="F279" s="1864"/>
      <c r="G279" s="1864"/>
      <c r="H279" s="1867"/>
    </row>
    <row r="280" spans="5:8">
      <c r="E280" s="1864"/>
      <c r="F280" s="1864"/>
      <c r="G280" s="1864"/>
      <c r="H280" s="1867"/>
    </row>
    <row r="281" spans="5:8">
      <c r="E281" s="1864"/>
      <c r="F281" s="1864"/>
      <c r="G281" s="1864"/>
      <c r="H281" s="1867"/>
    </row>
    <row r="282" spans="5:8">
      <c r="E282" s="1864"/>
      <c r="F282" s="1864"/>
      <c r="G282" s="1864"/>
      <c r="H282" s="1867"/>
    </row>
    <row r="283" spans="5:8">
      <c r="E283" s="1864"/>
      <c r="F283" s="1864"/>
      <c r="G283" s="1864"/>
      <c r="H283" s="1867"/>
    </row>
    <row r="284" spans="5:8">
      <c r="E284" s="1864"/>
      <c r="F284" s="1864"/>
      <c r="G284" s="1864"/>
      <c r="H284" s="1867"/>
    </row>
    <row r="285" spans="5:8">
      <c r="E285" s="1864"/>
      <c r="F285" s="1864"/>
      <c r="G285" s="1864"/>
      <c r="H285" s="1867"/>
    </row>
    <row r="286" spans="5:8">
      <c r="E286" s="1864"/>
      <c r="F286" s="1864"/>
      <c r="G286" s="1864"/>
      <c r="H286" s="1867"/>
    </row>
    <row r="287" spans="5:8">
      <c r="E287" s="1864"/>
      <c r="F287" s="1864"/>
      <c r="G287" s="1864"/>
      <c r="H287" s="1867"/>
    </row>
    <row r="288" spans="5:8">
      <c r="E288" s="1864"/>
      <c r="F288" s="1864"/>
      <c r="G288" s="1864"/>
      <c r="H288" s="1867"/>
    </row>
    <row r="289" spans="5:8">
      <c r="E289" s="1864"/>
      <c r="F289" s="1864"/>
      <c r="G289" s="1864"/>
      <c r="H289" s="1867"/>
    </row>
    <row r="290" spans="5:8">
      <c r="E290" s="1864"/>
      <c r="F290" s="1864"/>
      <c r="G290" s="1864"/>
      <c r="H290" s="1867"/>
    </row>
    <row r="291" spans="5:8">
      <c r="E291" s="1864"/>
      <c r="F291" s="1864"/>
      <c r="G291" s="1864"/>
      <c r="H291" s="1867"/>
    </row>
    <row r="292" spans="5:8">
      <c r="E292" s="1864"/>
      <c r="F292" s="1864"/>
      <c r="G292" s="1864"/>
      <c r="H292" s="1867"/>
    </row>
    <row r="293" spans="5:8">
      <c r="E293" s="1864"/>
      <c r="F293" s="1864"/>
      <c r="G293" s="1864"/>
      <c r="H293" s="1867"/>
    </row>
    <row r="294" spans="5:8">
      <c r="E294" s="1864"/>
      <c r="F294" s="1864"/>
      <c r="G294" s="1864"/>
      <c r="H294" s="1867"/>
    </row>
    <row r="295" spans="5:8">
      <c r="E295" s="1864"/>
      <c r="F295" s="1864"/>
      <c r="G295" s="1864"/>
      <c r="H295" s="1867"/>
    </row>
    <row r="296" spans="5:8">
      <c r="E296" s="1864"/>
      <c r="F296" s="1864"/>
      <c r="G296" s="1864"/>
      <c r="H296" s="1867"/>
    </row>
    <row r="297" spans="5:8">
      <c r="E297" s="1864"/>
      <c r="F297" s="1864"/>
      <c r="G297" s="1864"/>
      <c r="H297" s="1867"/>
    </row>
    <row r="298" spans="5:8">
      <c r="E298" s="1864"/>
      <c r="F298" s="1864"/>
      <c r="G298" s="1864"/>
      <c r="H298" s="1867"/>
    </row>
    <row r="299" spans="5:8">
      <c r="E299" s="1864"/>
      <c r="F299" s="1864"/>
      <c r="G299" s="1864"/>
      <c r="H299" s="1867"/>
    </row>
    <row r="300" spans="5:8">
      <c r="E300" s="1864"/>
      <c r="F300" s="1864"/>
      <c r="G300" s="1864"/>
      <c r="H300" s="1867"/>
    </row>
    <row r="301" spans="5:8">
      <c r="E301" s="1864"/>
      <c r="F301" s="1864"/>
      <c r="G301" s="1864"/>
      <c r="H301" s="1867"/>
    </row>
    <row r="302" spans="5:8">
      <c r="E302" s="1864"/>
      <c r="F302" s="1864"/>
      <c r="G302" s="1864"/>
      <c r="H302" s="1867"/>
    </row>
    <row r="303" spans="5:8">
      <c r="E303" s="1864"/>
      <c r="F303" s="1864"/>
      <c r="G303" s="1864"/>
      <c r="H303" s="1867"/>
    </row>
    <row r="304" spans="5:8">
      <c r="E304" s="1864"/>
      <c r="F304" s="1864"/>
      <c r="G304" s="1864"/>
      <c r="H304" s="1867"/>
    </row>
    <row r="305" spans="5:8">
      <c r="E305" s="1864"/>
      <c r="F305" s="1864"/>
      <c r="G305" s="1864"/>
      <c r="H305" s="1867"/>
    </row>
    <row r="306" spans="5:8">
      <c r="E306" s="1864"/>
      <c r="F306" s="1864"/>
      <c r="G306" s="1864"/>
      <c r="H306" s="1867"/>
    </row>
    <row r="307" spans="5:8">
      <c r="E307" s="1864"/>
      <c r="F307" s="1864"/>
      <c r="G307" s="1864"/>
      <c r="H307" s="1867"/>
    </row>
    <row r="308" spans="5:8">
      <c r="E308" s="1864"/>
      <c r="F308" s="1864"/>
      <c r="G308" s="1864"/>
      <c r="H308" s="1867"/>
    </row>
    <row r="309" spans="5:8">
      <c r="E309" s="1864"/>
      <c r="F309" s="1864"/>
      <c r="G309" s="1864"/>
      <c r="H309" s="1867"/>
    </row>
    <row r="310" spans="5:8">
      <c r="E310" s="1864"/>
      <c r="F310" s="1864"/>
      <c r="G310" s="1864"/>
      <c r="H310" s="1867"/>
    </row>
    <row r="311" spans="5:8">
      <c r="E311" s="1864"/>
      <c r="F311" s="1864"/>
      <c r="G311" s="1864"/>
      <c r="H311" s="1867"/>
    </row>
    <row r="312" spans="5:8">
      <c r="E312" s="1864"/>
      <c r="F312" s="1864"/>
      <c r="G312" s="1864"/>
      <c r="H312" s="1867"/>
    </row>
    <row r="313" spans="5:8">
      <c r="E313" s="1864"/>
      <c r="F313" s="1864"/>
      <c r="G313" s="1864"/>
      <c r="H313" s="1867"/>
    </row>
    <row r="314" spans="5:8">
      <c r="E314" s="1864"/>
      <c r="F314" s="1864"/>
      <c r="G314" s="1864"/>
      <c r="H314" s="1867"/>
    </row>
    <row r="315" spans="5:8">
      <c r="E315" s="1864"/>
      <c r="F315" s="1864"/>
      <c r="G315" s="1864"/>
      <c r="H315" s="1867"/>
    </row>
    <row r="316" spans="5:8">
      <c r="E316" s="1864"/>
      <c r="F316" s="1864"/>
      <c r="G316" s="1864"/>
      <c r="H316" s="1867"/>
    </row>
    <row r="317" spans="5:8">
      <c r="E317" s="1864"/>
      <c r="F317" s="1864"/>
      <c r="G317" s="1864"/>
      <c r="H317" s="1867"/>
    </row>
    <row r="318" spans="5:8">
      <c r="E318" s="1864"/>
      <c r="F318" s="1864"/>
      <c r="G318" s="1864"/>
      <c r="H318" s="1867"/>
    </row>
    <row r="319" spans="5:8">
      <c r="E319" s="1864"/>
      <c r="F319" s="1864"/>
      <c r="G319" s="1864"/>
      <c r="H319" s="1867"/>
    </row>
    <row r="320" spans="5:8">
      <c r="E320" s="1864"/>
      <c r="F320" s="1864"/>
      <c r="G320" s="1864"/>
      <c r="H320" s="1867"/>
    </row>
    <row r="321" spans="5:8">
      <c r="E321" s="1864"/>
      <c r="F321" s="1864"/>
      <c r="G321" s="1864"/>
      <c r="H321" s="1867"/>
    </row>
    <row r="322" spans="5:8">
      <c r="E322" s="1864"/>
      <c r="F322" s="1864"/>
      <c r="G322" s="1864"/>
      <c r="H322" s="1867"/>
    </row>
    <row r="323" spans="5:8">
      <c r="E323" s="1864"/>
      <c r="F323" s="1864"/>
      <c r="G323" s="1864"/>
      <c r="H323" s="1867"/>
    </row>
    <row r="324" spans="5:8">
      <c r="E324" s="1864"/>
      <c r="F324" s="1864"/>
      <c r="G324" s="1864"/>
      <c r="H324" s="1867"/>
    </row>
    <row r="325" spans="5:8">
      <c r="E325" s="1864"/>
      <c r="F325" s="1864"/>
      <c r="G325" s="1864"/>
      <c r="H325" s="1867"/>
    </row>
    <row r="326" spans="5:8">
      <c r="E326" s="1864"/>
      <c r="F326" s="1864"/>
      <c r="G326" s="1864"/>
      <c r="H326" s="1867"/>
    </row>
    <row r="327" spans="5:8">
      <c r="E327" s="1864"/>
      <c r="F327" s="1864"/>
      <c r="G327" s="1864"/>
      <c r="H327" s="1867"/>
    </row>
    <row r="328" spans="5:8">
      <c r="E328" s="1864"/>
      <c r="F328" s="1864"/>
      <c r="G328" s="1864"/>
      <c r="H328" s="1867"/>
    </row>
    <row r="329" spans="5:8">
      <c r="E329" s="1864"/>
      <c r="F329" s="1864"/>
      <c r="G329" s="1864"/>
      <c r="H329" s="1867"/>
    </row>
    <row r="330" spans="5:8">
      <c r="E330" s="1864"/>
      <c r="F330" s="1864"/>
      <c r="G330" s="1864"/>
      <c r="H330" s="1867"/>
    </row>
    <row r="331" spans="5:8">
      <c r="E331" s="1864"/>
      <c r="F331" s="1864"/>
      <c r="G331" s="1864"/>
      <c r="H331" s="1867"/>
    </row>
    <row r="332" spans="5:8">
      <c r="E332" s="1864"/>
      <c r="F332" s="1864"/>
      <c r="G332" s="1864"/>
      <c r="H332" s="1867"/>
    </row>
    <row r="333" spans="5:8">
      <c r="E333" s="1864"/>
      <c r="F333" s="1864"/>
      <c r="G333" s="1864"/>
      <c r="H333" s="1867"/>
    </row>
    <row r="334" spans="5:8">
      <c r="E334" s="1864"/>
      <c r="F334" s="1864"/>
      <c r="G334" s="1864"/>
      <c r="H334" s="1867"/>
    </row>
    <row r="335" spans="5:8">
      <c r="E335" s="1864"/>
      <c r="F335" s="1864"/>
      <c r="G335" s="1864"/>
      <c r="H335" s="1867"/>
    </row>
    <row r="336" spans="5:8">
      <c r="E336" s="1864"/>
      <c r="F336" s="1864"/>
      <c r="G336" s="1864"/>
      <c r="H336" s="1867"/>
    </row>
    <row r="337" spans="5:8">
      <c r="E337" s="1864"/>
      <c r="F337" s="1864"/>
      <c r="G337" s="1864"/>
      <c r="H337" s="1867"/>
    </row>
    <row r="338" spans="5:8">
      <c r="E338" s="1864"/>
      <c r="F338" s="1864"/>
      <c r="G338" s="1864"/>
      <c r="H338" s="1867"/>
    </row>
    <row r="339" spans="5:8">
      <c r="E339" s="1864"/>
      <c r="F339" s="1864"/>
      <c r="G339" s="1864"/>
      <c r="H339" s="1867"/>
    </row>
    <row r="340" spans="5:8">
      <c r="E340" s="1864"/>
      <c r="F340" s="1864"/>
      <c r="G340" s="1864"/>
      <c r="H340" s="1867"/>
    </row>
    <row r="341" spans="5:8">
      <c r="E341" s="1864"/>
      <c r="F341" s="1864"/>
      <c r="G341" s="1864"/>
      <c r="H341" s="1867"/>
    </row>
    <row r="342" spans="5:8">
      <c r="E342" s="1864"/>
      <c r="F342" s="1864"/>
      <c r="G342" s="1864"/>
      <c r="H342" s="1867"/>
    </row>
    <row r="343" spans="5:8">
      <c r="E343" s="1864"/>
      <c r="F343" s="1864"/>
      <c r="G343" s="1864"/>
      <c r="H343" s="1867"/>
    </row>
    <row r="344" spans="5:8">
      <c r="E344" s="1864"/>
      <c r="F344" s="1864"/>
      <c r="G344" s="1864"/>
      <c r="H344" s="1867"/>
    </row>
    <row r="345" spans="5:8">
      <c r="E345" s="1864"/>
      <c r="F345" s="1864"/>
      <c r="G345" s="1864"/>
      <c r="H345" s="1867"/>
    </row>
    <row r="346" spans="5:8">
      <c r="E346" s="1864"/>
      <c r="F346" s="1864"/>
      <c r="G346" s="1864"/>
      <c r="H346" s="1867"/>
    </row>
    <row r="347" spans="5:8">
      <c r="E347" s="1864"/>
      <c r="F347" s="1864"/>
      <c r="G347" s="1864"/>
      <c r="H347" s="1867"/>
    </row>
    <row r="348" spans="5:8">
      <c r="E348" s="1864"/>
      <c r="F348" s="1864"/>
      <c r="G348" s="1864"/>
      <c r="H348" s="1867"/>
    </row>
    <row r="349" spans="5:8">
      <c r="E349" s="1864"/>
      <c r="F349" s="1864"/>
      <c r="G349" s="1864"/>
      <c r="H349" s="1867"/>
    </row>
    <row r="350" spans="5:8">
      <c r="E350" s="1864"/>
      <c r="F350" s="1864"/>
      <c r="G350" s="1864"/>
      <c r="H350" s="1867"/>
    </row>
    <row r="351" spans="5:8">
      <c r="E351" s="1864"/>
      <c r="F351" s="1864"/>
      <c r="G351" s="1864"/>
      <c r="H351" s="1867"/>
    </row>
    <row r="352" spans="5:8">
      <c r="E352" s="1864"/>
      <c r="F352" s="1864"/>
      <c r="G352" s="1864"/>
      <c r="H352" s="1867"/>
    </row>
    <row r="353" spans="5:8">
      <c r="E353" s="1864"/>
      <c r="F353" s="1864"/>
      <c r="G353" s="1864"/>
      <c r="H353" s="1867"/>
    </row>
    <row r="354" spans="5:8">
      <c r="E354" s="1864"/>
      <c r="F354" s="1864"/>
      <c r="G354" s="1864"/>
      <c r="H354" s="1867"/>
    </row>
    <row r="355" spans="5:8">
      <c r="E355" s="1864"/>
      <c r="F355" s="1864"/>
      <c r="G355" s="1864"/>
      <c r="H355" s="1867"/>
    </row>
    <row r="356" spans="5:8">
      <c r="E356" s="1864"/>
      <c r="F356" s="1864"/>
      <c r="G356" s="1864"/>
      <c r="H356" s="1867"/>
    </row>
    <row r="357" spans="5:8">
      <c r="E357" s="1864"/>
      <c r="F357" s="1864"/>
      <c r="G357" s="1864"/>
      <c r="H357" s="1867"/>
    </row>
    <row r="358" spans="5:8">
      <c r="E358" s="1864"/>
      <c r="F358" s="1864"/>
      <c r="G358" s="1864"/>
      <c r="H358" s="1867"/>
    </row>
    <row r="359" spans="5:8">
      <c r="E359" s="1864"/>
      <c r="F359" s="1864"/>
      <c r="G359" s="1864"/>
      <c r="H359" s="1867"/>
    </row>
    <row r="360" spans="5:8">
      <c r="E360" s="1864"/>
      <c r="F360" s="1864"/>
      <c r="G360" s="1864"/>
      <c r="H360" s="1867"/>
    </row>
    <row r="361" spans="5:8">
      <c r="E361" s="1864"/>
      <c r="F361" s="1864"/>
      <c r="G361" s="1864"/>
      <c r="H361" s="1867"/>
    </row>
    <row r="362" spans="5:8">
      <c r="E362" s="1864"/>
      <c r="F362" s="1864"/>
      <c r="G362" s="1864"/>
      <c r="H362" s="1867"/>
    </row>
    <row r="363" spans="5:8">
      <c r="E363" s="1864"/>
      <c r="F363" s="1864"/>
      <c r="G363" s="1864"/>
      <c r="H363" s="1867"/>
    </row>
    <row r="364" spans="5:8">
      <c r="E364" s="1864"/>
      <c r="F364" s="1864"/>
      <c r="G364" s="1864"/>
      <c r="H364" s="1867"/>
    </row>
    <row r="365" spans="5:8">
      <c r="E365" s="1864"/>
      <c r="F365" s="1864"/>
      <c r="G365" s="1864"/>
      <c r="H365" s="1867"/>
    </row>
    <row r="366" spans="5:8">
      <c r="E366" s="1864"/>
      <c r="F366" s="1864"/>
      <c r="G366" s="1864"/>
      <c r="H366" s="1867"/>
    </row>
    <row r="367" spans="5:8">
      <c r="E367" s="1864"/>
      <c r="F367" s="1864"/>
      <c r="G367" s="1864"/>
      <c r="H367" s="1867"/>
    </row>
    <row r="368" spans="5:8">
      <c r="E368" s="1864"/>
      <c r="F368" s="1864"/>
      <c r="G368" s="1864"/>
      <c r="H368" s="1867"/>
    </row>
    <row r="369" spans="5:8">
      <c r="E369" s="1864"/>
      <c r="F369" s="1864"/>
      <c r="G369" s="1864"/>
      <c r="H369" s="1867"/>
    </row>
    <row r="370" spans="5:8">
      <c r="E370" s="1864"/>
      <c r="F370" s="1864"/>
      <c r="G370" s="1864"/>
      <c r="H370" s="1867"/>
    </row>
    <row r="371" spans="5:8">
      <c r="E371" s="1864"/>
      <c r="F371" s="1864"/>
      <c r="G371" s="1864"/>
      <c r="H371" s="1867"/>
    </row>
    <row r="372" spans="5:8">
      <c r="E372" s="1864"/>
      <c r="F372" s="1864"/>
      <c r="G372" s="1864"/>
      <c r="H372" s="1867"/>
    </row>
    <row r="373" spans="5:8">
      <c r="E373" s="1864"/>
      <c r="F373" s="1864"/>
      <c r="G373" s="1864"/>
      <c r="H373" s="1867"/>
    </row>
    <row r="374" spans="5:8">
      <c r="E374" s="1864"/>
      <c r="F374" s="1864"/>
      <c r="G374" s="1864"/>
      <c r="H374" s="1867"/>
    </row>
    <row r="375" spans="5:8">
      <c r="E375" s="1864"/>
      <c r="F375" s="1864"/>
      <c r="G375" s="1864"/>
      <c r="H375" s="1867"/>
    </row>
    <row r="376" spans="5:8">
      <c r="E376" s="1864"/>
      <c r="F376" s="1864"/>
      <c r="G376" s="1864"/>
      <c r="H376" s="1867"/>
    </row>
    <row r="377" spans="5:8">
      <c r="E377" s="1864"/>
      <c r="F377" s="1864"/>
      <c r="G377" s="1864"/>
      <c r="H377" s="1867"/>
    </row>
    <row r="378" spans="5:8">
      <c r="E378" s="1864"/>
      <c r="F378" s="1864"/>
      <c r="G378" s="1864"/>
      <c r="H378" s="1867"/>
    </row>
    <row r="379" spans="5:8">
      <c r="E379" s="1864"/>
      <c r="F379" s="1864"/>
      <c r="G379" s="1864"/>
      <c r="H379" s="1867"/>
    </row>
    <row r="380" spans="5:8">
      <c r="E380" s="1864"/>
      <c r="F380" s="1864"/>
      <c r="G380" s="1864"/>
      <c r="H380" s="1867"/>
    </row>
    <row r="381" spans="5:8">
      <c r="E381" s="1864"/>
      <c r="F381" s="1864"/>
      <c r="G381" s="1864"/>
      <c r="H381" s="1867"/>
    </row>
    <row r="382" spans="5:8">
      <c r="E382" s="1864"/>
      <c r="F382" s="1864"/>
      <c r="G382" s="1864"/>
      <c r="H382" s="1867"/>
    </row>
    <row r="383" spans="5:8">
      <c r="E383" s="1864"/>
      <c r="F383" s="1864"/>
      <c r="G383" s="1864"/>
      <c r="H383" s="1867"/>
    </row>
    <row r="384" spans="5:8">
      <c r="E384" s="1864"/>
      <c r="F384" s="1864"/>
      <c r="G384" s="1864"/>
      <c r="H384" s="1867"/>
    </row>
    <row r="385" spans="5:8">
      <c r="E385" s="1864"/>
      <c r="F385" s="1864"/>
      <c r="G385" s="1864"/>
      <c r="H385" s="1867"/>
    </row>
    <row r="386" spans="5:8">
      <c r="E386" s="1864"/>
      <c r="F386" s="1864"/>
      <c r="G386" s="1864"/>
      <c r="H386" s="1867"/>
    </row>
    <row r="387" spans="5:8">
      <c r="E387" s="1864"/>
      <c r="F387" s="1864"/>
      <c r="G387" s="1864"/>
      <c r="H387" s="1867"/>
    </row>
    <row r="388" spans="5:8">
      <c r="E388" s="1864"/>
      <c r="F388" s="1864"/>
      <c r="G388" s="1864"/>
      <c r="H388" s="1867"/>
    </row>
    <row r="389" spans="5:8">
      <c r="E389" s="1864"/>
      <c r="F389" s="1864"/>
      <c r="G389" s="1864"/>
      <c r="H389" s="1867"/>
    </row>
    <row r="390" spans="5:8">
      <c r="E390" s="1864"/>
      <c r="F390" s="1864"/>
      <c r="G390" s="1864"/>
      <c r="H390" s="1867"/>
    </row>
    <row r="391" spans="5:8">
      <c r="E391" s="1864"/>
      <c r="F391" s="1864"/>
      <c r="G391" s="1864"/>
      <c r="H391" s="1867"/>
    </row>
    <row r="392" spans="5:8">
      <c r="E392" s="1864"/>
      <c r="F392" s="1864"/>
      <c r="G392" s="1864"/>
      <c r="H392" s="1867"/>
    </row>
    <row r="393" spans="5:8">
      <c r="E393" s="1864"/>
      <c r="F393" s="1864"/>
      <c r="G393" s="1864"/>
      <c r="H393" s="1867"/>
    </row>
    <row r="394" spans="5:8">
      <c r="E394" s="1864"/>
      <c r="F394" s="1864"/>
      <c r="G394" s="1864"/>
      <c r="H394" s="1867"/>
    </row>
    <row r="395" spans="5:8">
      <c r="E395" s="1864"/>
      <c r="F395" s="1864"/>
      <c r="G395" s="1864"/>
      <c r="H395" s="1867"/>
    </row>
    <row r="396" spans="5:8">
      <c r="E396" s="1864"/>
      <c r="F396" s="1864"/>
      <c r="G396" s="1864"/>
      <c r="H396" s="1867"/>
    </row>
    <row r="397" spans="5:8">
      <c r="E397" s="1864"/>
      <c r="F397" s="1864"/>
      <c r="G397" s="1864"/>
      <c r="H397" s="1867"/>
    </row>
    <row r="398" spans="5:8">
      <c r="E398" s="1864"/>
      <c r="F398" s="1864"/>
      <c r="G398" s="1864"/>
      <c r="H398" s="1867"/>
    </row>
    <row r="399" spans="5:8">
      <c r="E399" s="1864"/>
      <c r="F399" s="1864"/>
      <c r="G399" s="1864"/>
      <c r="H399" s="1867"/>
    </row>
    <row r="400" spans="5:8">
      <c r="E400" s="1864"/>
      <c r="F400" s="1864"/>
      <c r="G400" s="1864"/>
      <c r="H400" s="1867"/>
    </row>
    <row r="401" spans="5:8">
      <c r="E401" s="1864"/>
      <c r="F401" s="1864"/>
      <c r="G401" s="1864"/>
      <c r="H401" s="1867"/>
    </row>
    <row r="402" spans="5:8">
      <c r="E402" s="1864"/>
      <c r="F402" s="1864"/>
      <c r="G402" s="1864"/>
      <c r="H402" s="1867"/>
    </row>
    <row r="403" spans="5:8">
      <c r="E403" s="1864"/>
      <c r="F403" s="1864"/>
      <c r="G403" s="1864"/>
      <c r="H403" s="1867"/>
    </row>
    <row r="404" spans="5:8">
      <c r="E404" s="1864"/>
      <c r="F404" s="1864"/>
      <c r="G404" s="1864"/>
      <c r="H404" s="1867"/>
    </row>
    <row r="405" spans="5:8">
      <c r="E405" s="1864"/>
      <c r="F405" s="1864"/>
      <c r="G405" s="1864"/>
      <c r="H405" s="1867"/>
    </row>
    <row r="406" spans="5:8">
      <c r="E406" s="1864"/>
      <c r="F406" s="1864"/>
      <c r="G406" s="1864"/>
      <c r="H406" s="1867"/>
    </row>
    <row r="407" spans="5:8">
      <c r="E407" s="1864"/>
      <c r="F407" s="1864"/>
      <c r="G407" s="1864"/>
      <c r="H407" s="1867"/>
    </row>
    <row r="408" spans="5:8">
      <c r="E408" s="1864"/>
      <c r="F408" s="1864"/>
      <c r="G408" s="1864"/>
      <c r="H408" s="1867"/>
    </row>
    <row r="409" spans="5:8">
      <c r="E409" s="1864"/>
      <c r="F409" s="1864"/>
      <c r="G409" s="1864"/>
      <c r="H409" s="1867"/>
    </row>
    <row r="410" spans="5:8">
      <c r="E410" s="1864"/>
      <c r="F410" s="1864"/>
      <c r="G410" s="1864"/>
      <c r="H410" s="1867"/>
    </row>
    <row r="411" spans="5:8">
      <c r="E411" s="1864"/>
      <c r="F411" s="1864"/>
      <c r="G411" s="1864"/>
      <c r="H411" s="1867"/>
    </row>
    <row r="412" spans="5:8">
      <c r="E412" s="1864"/>
      <c r="F412" s="1864"/>
      <c r="G412" s="1864"/>
      <c r="H412" s="1867"/>
    </row>
    <row r="413" spans="5:8">
      <c r="E413" s="1864"/>
      <c r="F413" s="1864"/>
      <c r="G413" s="1864"/>
      <c r="H413" s="1867"/>
    </row>
    <row r="414" spans="5:8">
      <c r="E414" s="1864"/>
      <c r="F414" s="1864"/>
      <c r="G414" s="1864"/>
      <c r="H414" s="1867"/>
    </row>
    <row r="415" spans="5:8">
      <c r="E415" s="1864"/>
      <c r="F415" s="1864"/>
      <c r="G415" s="1864"/>
      <c r="H415" s="1867"/>
    </row>
    <row r="416" spans="5:8">
      <c r="E416" s="1864"/>
      <c r="F416" s="1864"/>
      <c r="G416" s="1864"/>
      <c r="H416" s="1867"/>
    </row>
    <row r="417" spans="5:8">
      <c r="E417" s="1864"/>
      <c r="F417" s="1864"/>
      <c r="G417" s="1864"/>
      <c r="H417" s="1867"/>
    </row>
    <row r="418" spans="5:8">
      <c r="E418" s="1864"/>
      <c r="F418" s="1864"/>
      <c r="G418" s="1864"/>
      <c r="H418" s="1867"/>
    </row>
    <row r="419" spans="5:8">
      <c r="E419" s="1864"/>
      <c r="F419" s="1864"/>
      <c r="G419" s="1864"/>
      <c r="H419" s="1867"/>
    </row>
    <row r="420" spans="5:8">
      <c r="E420" s="1864"/>
      <c r="F420" s="1864"/>
      <c r="G420" s="1864"/>
      <c r="H420" s="1867"/>
    </row>
    <row r="421" spans="5:8">
      <c r="E421" s="1864"/>
      <c r="F421" s="1864"/>
      <c r="G421" s="1864"/>
      <c r="H421" s="1867"/>
    </row>
    <row r="422" spans="5:8">
      <c r="E422" s="1864"/>
      <c r="F422" s="1864"/>
      <c r="G422" s="1864"/>
      <c r="H422" s="1867"/>
    </row>
    <row r="423" spans="5:8">
      <c r="E423" s="1864"/>
      <c r="F423" s="1864"/>
      <c r="G423" s="1864"/>
      <c r="H423" s="1867"/>
    </row>
    <row r="424" spans="5:8">
      <c r="E424" s="1864"/>
      <c r="F424" s="1864"/>
      <c r="G424" s="1864"/>
      <c r="H424" s="1867"/>
    </row>
    <row r="425" spans="5:8">
      <c r="E425" s="1864"/>
      <c r="F425" s="1864"/>
      <c r="G425" s="1864"/>
      <c r="H425" s="1867"/>
    </row>
    <row r="426" spans="5:8">
      <c r="E426" s="1864"/>
      <c r="F426" s="1864"/>
      <c r="G426" s="1864"/>
      <c r="H426" s="1867"/>
    </row>
    <row r="427" spans="5:8">
      <c r="E427" s="1864"/>
      <c r="F427" s="1864"/>
      <c r="G427" s="1864"/>
      <c r="H427" s="1867"/>
    </row>
    <row r="428" spans="5:8">
      <c r="E428" s="1864"/>
      <c r="F428" s="1864"/>
      <c r="G428" s="1864"/>
      <c r="H428" s="1867"/>
    </row>
    <row r="429" spans="5:8">
      <c r="E429" s="1864"/>
      <c r="F429" s="1864"/>
      <c r="G429" s="1864"/>
      <c r="H429" s="1867"/>
    </row>
    <row r="430" spans="5:8">
      <c r="E430" s="1864"/>
      <c r="F430" s="1864"/>
      <c r="G430" s="1864"/>
      <c r="H430" s="1867"/>
    </row>
    <row r="431" spans="5:8">
      <c r="E431" s="1864"/>
      <c r="F431" s="1864"/>
      <c r="G431" s="1864"/>
      <c r="H431" s="1867"/>
    </row>
    <row r="432" spans="5:8">
      <c r="E432" s="1864"/>
      <c r="F432" s="1864"/>
      <c r="G432" s="1864"/>
      <c r="H432" s="1867"/>
    </row>
    <row r="433" spans="5:8">
      <c r="E433" s="1864"/>
      <c r="F433" s="1864"/>
      <c r="G433" s="1864"/>
      <c r="H433" s="1867"/>
    </row>
    <row r="434" spans="5:8">
      <c r="E434" s="1864"/>
      <c r="F434" s="1864"/>
      <c r="G434" s="1864"/>
      <c r="H434" s="1867"/>
    </row>
    <row r="435" spans="5:8">
      <c r="E435" s="1864"/>
      <c r="F435" s="1864"/>
      <c r="G435" s="1864"/>
      <c r="H435" s="1867"/>
    </row>
    <row r="436" spans="5:8">
      <c r="E436" s="1864"/>
      <c r="F436" s="1864"/>
      <c r="G436" s="1864"/>
      <c r="H436" s="1867"/>
    </row>
    <row r="437" spans="5:8">
      <c r="E437" s="1864"/>
      <c r="F437" s="1864"/>
      <c r="G437" s="1864"/>
      <c r="H437" s="1867"/>
    </row>
    <row r="438" spans="5:8">
      <c r="E438" s="1864"/>
      <c r="F438" s="1864"/>
      <c r="G438" s="1864"/>
      <c r="H438" s="1867"/>
    </row>
    <row r="439" spans="5:8">
      <c r="E439" s="1864"/>
      <c r="F439" s="1864"/>
      <c r="G439" s="1864"/>
      <c r="H439" s="1867"/>
    </row>
    <row r="440" spans="5:8">
      <c r="E440" s="1864"/>
      <c r="F440" s="1864"/>
      <c r="G440" s="1864"/>
      <c r="H440" s="1867"/>
    </row>
    <row r="441" spans="5:8">
      <c r="E441" s="1864"/>
      <c r="F441" s="1864"/>
      <c r="G441" s="1864"/>
      <c r="H441" s="1867"/>
    </row>
    <row r="442" spans="5:8">
      <c r="E442" s="1864"/>
      <c r="F442" s="1864"/>
      <c r="G442" s="1864"/>
      <c r="H442" s="1867"/>
    </row>
    <row r="443" spans="5:8">
      <c r="E443" s="1864"/>
      <c r="F443" s="1864"/>
      <c r="G443" s="1864"/>
      <c r="H443" s="1867"/>
    </row>
    <row r="444" spans="5:8">
      <c r="E444" s="1864"/>
      <c r="F444" s="1864"/>
      <c r="G444" s="1864"/>
      <c r="H444" s="1867"/>
    </row>
    <row r="445" spans="5:8">
      <c r="E445" s="1864"/>
      <c r="F445" s="1864"/>
      <c r="G445" s="1864"/>
      <c r="H445" s="1867"/>
    </row>
    <row r="446" spans="5:8">
      <c r="E446" s="1864"/>
      <c r="F446" s="1864"/>
      <c r="G446" s="1864"/>
      <c r="H446" s="1867"/>
    </row>
    <row r="447" spans="5:8">
      <c r="E447" s="1864"/>
      <c r="F447" s="1864"/>
      <c r="G447" s="1864"/>
      <c r="H447" s="1867"/>
    </row>
    <row r="448" spans="5:8">
      <c r="E448" s="1864"/>
      <c r="F448" s="1864"/>
      <c r="G448" s="1864"/>
      <c r="H448" s="1867"/>
    </row>
    <row r="449" spans="5:8">
      <c r="E449" s="1864"/>
      <c r="F449" s="1864"/>
      <c r="G449" s="1864"/>
      <c r="H449" s="1867"/>
    </row>
    <row r="450" spans="5:8">
      <c r="E450" s="1864"/>
      <c r="F450" s="1864"/>
      <c r="G450" s="1864"/>
      <c r="H450" s="1867"/>
    </row>
    <row r="451" spans="5:8">
      <c r="E451" s="1864"/>
      <c r="F451" s="1864"/>
      <c r="G451" s="1864"/>
      <c r="H451" s="1867"/>
    </row>
    <row r="452" spans="5:8">
      <c r="E452" s="1864"/>
      <c r="F452" s="1864"/>
      <c r="G452" s="1864"/>
      <c r="H452" s="1867"/>
    </row>
    <row r="453" spans="5:8">
      <c r="E453" s="1864"/>
      <c r="F453" s="1864"/>
      <c r="G453" s="1864"/>
      <c r="H453" s="1867"/>
    </row>
    <row r="454" spans="5:8">
      <c r="E454" s="1864"/>
      <c r="F454" s="1864"/>
      <c r="G454" s="1864"/>
      <c r="H454" s="1867"/>
    </row>
    <row r="455" spans="5:8">
      <c r="E455" s="1864"/>
      <c r="F455" s="1864"/>
      <c r="G455" s="1864"/>
      <c r="H455" s="1867"/>
    </row>
    <row r="456" spans="5:8">
      <c r="E456" s="1864"/>
      <c r="F456" s="1864"/>
      <c r="G456" s="1864"/>
      <c r="H456" s="1867"/>
    </row>
    <row r="457" spans="5:8">
      <c r="E457" s="1864"/>
      <c r="F457" s="1864"/>
      <c r="G457" s="1864"/>
      <c r="H457" s="1867"/>
    </row>
    <row r="458" spans="5:8">
      <c r="E458" s="1864"/>
      <c r="F458" s="1864"/>
      <c r="G458" s="1864"/>
      <c r="H458" s="1867"/>
    </row>
    <row r="459" spans="5:8">
      <c r="E459" s="1864"/>
      <c r="F459" s="1864"/>
      <c r="G459" s="1864"/>
      <c r="H459" s="1867"/>
    </row>
    <row r="460" spans="5:8">
      <c r="E460" s="1864"/>
      <c r="F460" s="1864"/>
      <c r="G460" s="1864"/>
      <c r="H460" s="1867"/>
    </row>
    <row r="461" spans="5:8">
      <c r="E461" s="1864"/>
      <c r="F461" s="1864"/>
      <c r="G461" s="1864"/>
      <c r="H461" s="1867"/>
    </row>
    <row r="462" spans="5:8">
      <c r="E462" s="1864"/>
      <c r="F462" s="1864"/>
      <c r="G462" s="1864"/>
      <c r="H462" s="1867"/>
    </row>
    <row r="463" spans="5:8">
      <c r="E463" s="1864"/>
      <c r="F463" s="1864"/>
      <c r="G463" s="1864"/>
      <c r="H463" s="1867"/>
    </row>
    <row r="464" spans="5:8">
      <c r="E464" s="1864"/>
      <c r="F464" s="1864"/>
      <c r="G464" s="1864"/>
      <c r="H464" s="1867"/>
    </row>
    <row r="465" spans="5:8">
      <c r="E465" s="1864"/>
      <c r="F465" s="1864"/>
      <c r="G465" s="1864"/>
      <c r="H465" s="1867"/>
    </row>
    <row r="466" spans="5:8">
      <c r="E466" s="1864"/>
      <c r="F466" s="1864"/>
      <c r="G466" s="1864"/>
      <c r="H466" s="1867"/>
    </row>
    <row r="467" spans="5:8">
      <c r="E467" s="1864"/>
      <c r="F467" s="1864"/>
      <c r="G467" s="1864"/>
      <c r="H467" s="1867"/>
    </row>
    <row r="468" spans="5:8">
      <c r="E468" s="1864"/>
      <c r="F468" s="1864"/>
      <c r="G468" s="1864"/>
      <c r="H468" s="1867"/>
    </row>
    <row r="469" spans="5:8">
      <c r="E469" s="1864"/>
      <c r="F469" s="1864"/>
      <c r="G469" s="1864"/>
      <c r="H469" s="1867"/>
    </row>
    <row r="470" spans="5:8">
      <c r="E470" s="1864"/>
      <c r="F470" s="1864"/>
      <c r="G470" s="1864"/>
      <c r="H470" s="1867"/>
    </row>
    <row r="471" spans="5:8">
      <c r="E471" s="1864"/>
      <c r="F471" s="1864"/>
      <c r="G471" s="1864"/>
      <c r="H471" s="1867"/>
    </row>
    <row r="472" spans="5:8">
      <c r="E472" s="1864"/>
      <c r="F472" s="1864"/>
      <c r="G472" s="1864"/>
      <c r="H472" s="1867"/>
    </row>
    <row r="473" spans="5:8">
      <c r="E473" s="1864"/>
      <c r="F473" s="1864"/>
      <c r="G473" s="1864"/>
      <c r="H473" s="1867"/>
    </row>
    <row r="474" spans="5:8">
      <c r="E474" s="1864"/>
      <c r="F474" s="1864"/>
      <c r="G474" s="1864"/>
      <c r="H474" s="1867"/>
    </row>
    <row r="475" spans="5:8">
      <c r="E475" s="1864"/>
      <c r="F475" s="1864"/>
      <c r="G475" s="1864"/>
      <c r="H475" s="1867"/>
    </row>
    <row r="476" spans="5:8">
      <c r="E476" s="1864"/>
      <c r="F476" s="1864"/>
      <c r="G476" s="1864"/>
      <c r="H476" s="1867"/>
    </row>
    <row r="477" spans="5:8">
      <c r="E477" s="1864"/>
      <c r="F477" s="1864"/>
      <c r="G477" s="1864"/>
      <c r="H477" s="1867"/>
    </row>
    <row r="478" spans="5:8">
      <c r="E478" s="1864"/>
      <c r="F478" s="1864"/>
      <c r="G478" s="1864"/>
      <c r="H478" s="1867"/>
    </row>
    <row r="479" spans="5:8">
      <c r="E479" s="1864"/>
      <c r="F479" s="1864"/>
      <c r="G479" s="1864"/>
      <c r="H479" s="1867"/>
    </row>
    <row r="480" spans="5:8">
      <c r="E480" s="1864"/>
      <c r="F480" s="1864"/>
      <c r="G480" s="1864"/>
      <c r="H480" s="1867"/>
    </row>
    <row r="481" spans="5:8">
      <c r="E481" s="1864"/>
      <c r="F481" s="1864"/>
      <c r="G481" s="1864"/>
      <c r="H481" s="1867"/>
    </row>
    <row r="482" spans="5:8">
      <c r="E482" s="1864"/>
      <c r="F482" s="1864"/>
      <c r="G482" s="1864"/>
      <c r="H482" s="1867"/>
    </row>
    <row r="483" spans="5:8">
      <c r="E483" s="1864"/>
      <c r="F483" s="1864"/>
      <c r="G483" s="1864"/>
      <c r="H483" s="1867"/>
    </row>
    <row r="484" spans="5:8">
      <c r="E484" s="1864"/>
      <c r="F484" s="1864"/>
      <c r="G484" s="1864"/>
      <c r="H484" s="1867"/>
    </row>
    <row r="485" spans="5:8">
      <c r="E485" s="1864"/>
      <c r="F485" s="1864"/>
      <c r="G485" s="1864"/>
      <c r="H485" s="1867"/>
    </row>
    <row r="486" spans="5:8">
      <c r="E486" s="1864"/>
      <c r="F486" s="1864"/>
      <c r="G486" s="1864"/>
      <c r="H486" s="1867"/>
    </row>
    <row r="487" spans="5:8">
      <c r="E487" s="1864"/>
      <c r="F487" s="1864"/>
      <c r="G487" s="1864"/>
      <c r="H487" s="1867"/>
    </row>
    <row r="488" spans="5:8">
      <c r="E488" s="1864"/>
      <c r="F488" s="1864"/>
      <c r="G488" s="1864"/>
      <c r="H488" s="1867"/>
    </row>
    <row r="489" spans="5:8">
      <c r="E489" s="1864"/>
      <c r="F489" s="1864"/>
      <c r="G489" s="1864"/>
      <c r="H489" s="1867"/>
    </row>
    <row r="490" spans="5:8">
      <c r="E490" s="1864"/>
      <c r="F490" s="1864"/>
      <c r="G490" s="1864"/>
      <c r="H490" s="1867"/>
    </row>
    <row r="491" spans="5:8">
      <c r="E491" s="1864"/>
      <c r="F491" s="1864"/>
      <c r="G491" s="1864"/>
      <c r="H491" s="1867"/>
    </row>
    <row r="492" spans="5:8">
      <c r="E492" s="1864"/>
      <c r="F492" s="1864"/>
      <c r="G492" s="1864"/>
      <c r="H492" s="1867"/>
    </row>
    <row r="493" spans="5:8">
      <c r="E493" s="1864"/>
      <c r="F493" s="1864"/>
      <c r="G493" s="1864"/>
      <c r="H493" s="1867"/>
    </row>
    <row r="494" spans="5:8">
      <c r="E494" s="1864"/>
      <c r="F494" s="1864"/>
      <c r="G494" s="1864"/>
      <c r="H494" s="1867"/>
    </row>
    <row r="495" spans="5:8">
      <c r="E495" s="1864"/>
      <c r="F495" s="1864"/>
      <c r="G495" s="1864"/>
      <c r="H495" s="1867"/>
    </row>
    <row r="496" spans="5:8">
      <c r="E496" s="1864"/>
      <c r="F496" s="1864"/>
      <c r="G496" s="1864"/>
      <c r="H496" s="1867"/>
    </row>
    <row r="497" spans="5:8">
      <c r="E497" s="1864"/>
      <c r="F497" s="1864"/>
      <c r="G497" s="1864"/>
      <c r="H497" s="1867"/>
    </row>
    <row r="498" spans="5:8">
      <c r="E498" s="1864"/>
      <c r="F498" s="1864"/>
      <c r="G498" s="1864"/>
      <c r="H498" s="1867"/>
    </row>
    <row r="499" spans="5:8">
      <c r="E499" s="1864"/>
      <c r="F499" s="1864"/>
      <c r="G499" s="1864"/>
      <c r="H499" s="1867"/>
    </row>
    <row r="500" spans="5:8">
      <c r="E500" s="1864"/>
      <c r="F500" s="1864"/>
      <c r="G500" s="1864"/>
      <c r="H500" s="1867"/>
    </row>
    <row r="501" spans="5:8">
      <c r="E501" s="1864"/>
      <c r="F501" s="1864"/>
      <c r="G501" s="1864"/>
      <c r="H501" s="1867"/>
    </row>
    <row r="502" spans="5:8">
      <c r="E502" s="1864"/>
      <c r="F502" s="1864"/>
      <c r="G502" s="1864"/>
      <c r="H502" s="1867"/>
    </row>
    <row r="503" spans="5:8">
      <c r="E503" s="1864"/>
      <c r="F503" s="1864"/>
      <c r="G503" s="1864"/>
      <c r="H503" s="1867"/>
    </row>
    <row r="504" spans="5:8">
      <c r="E504" s="1864"/>
      <c r="F504" s="1864"/>
      <c r="G504" s="1864"/>
      <c r="H504" s="1867"/>
    </row>
    <row r="505" spans="5:8">
      <c r="E505" s="1864"/>
      <c r="F505" s="1864"/>
      <c r="G505" s="1864"/>
      <c r="H505" s="1867"/>
    </row>
    <row r="506" spans="5:8">
      <c r="E506" s="1864"/>
      <c r="F506" s="1864"/>
      <c r="G506" s="1864"/>
      <c r="H506" s="1867"/>
    </row>
    <row r="507" spans="5:8">
      <c r="E507" s="1864"/>
      <c r="F507" s="1864"/>
      <c r="G507" s="1864"/>
      <c r="H507" s="1867"/>
    </row>
    <row r="508" spans="5:8">
      <c r="E508" s="1864"/>
      <c r="F508" s="1864"/>
      <c r="G508" s="1864"/>
      <c r="H508" s="1867"/>
    </row>
    <row r="509" spans="5:8">
      <c r="E509" s="1864"/>
      <c r="F509" s="1864"/>
      <c r="G509" s="1864"/>
      <c r="H509" s="1867"/>
    </row>
    <row r="510" spans="5:8">
      <c r="E510" s="1864"/>
      <c r="F510" s="1864"/>
      <c r="G510" s="1864"/>
      <c r="H510" s="1867"/>
    </row>
    <row r="511" spans="5:8">
      <c r="E511" s="1864"/>
      <c r="F511" s="1864"/>
      <c r="G511" s="1864"/>
      <c r="H511" s="1867"/>
    </row>
    <row r="512" spans="5:8">
      <c r="E512" s="1864"/>
      <c r="F512" s="1864"/>
      <c r="G512" s="1864"/>
      <c r="H512" s="1867"/>
    </row>
    <row r="513" spans="5:8">
      <c r="E513" s="1864"/>
      <c r="F513" s="1864"/>
      <c r="G513" s="1864"/>
      <c r="H513" s="1867"/>
    </row>
    <row r="514" spans="5:8">
      <c r="E514" s="1864"/>
      <c r="F514" s="1864"/>
      <c r="G514" s="1864"/>
      <c r="H514" s="1867"/>
    </row>
    <row r="515" spans="5:8">
      <c r="E515" s="1864"/>
      <c r="F515" s="1864"/>
      <c r="G515" s="1864"/>
      <c r="H515" s="1867"/>
    </row>
    <row r="516" spans="5:8">
      <c r="E516" s="1864"/>
      <c r="F516" s="1864"/>
      <c r="G516" s="1864"/>
      <c r="H516" s="1867"/>
    </row>
    <row r="517" spans="5:8">
      <c r="E517" s="1864"/>
      <c r="F517" s="1864"/>
      <c r="G517" s="1864"/>
      <c r="H517" s="1867"/>
    </row>
    <row r="518" spans="5:8">
      <c r="E518" s="1864"/>
      <c r="F518" s="1864"/>
      <c r="G518" s="1864"/>
      <c r="H518" s="1867"/>
    </row>
    <row r="519" spans="5:8">
      <c r="E519" s="1864"/>
      <c r="F519" s="1864"/>
      <c r="G519" s="1864"/>
      <c r="H519" s="1867"/>
    </row>
    <row r="520" spans="5:8">
      <c r="E520" s="1864"/>
      <c r="F520" s="1864"/>
      <c r="G520" s="1864"/>
      <c r="H520" s="1867"/>
    </row>
    <row r="521" spans="5:8">
      <c r="E521" s="1864"/>
      <c r="F521" s="1864"/>
      <c r="G521" s="1864"/>
      <c r="H521" s="1867"/>
    </row>
    <row r="522" spans="5:8">
      <c r="E522" s="1864"/>
      <c r="F522" s="1864"/>
      <c r="G522" s="1864"/>
      <c r="H522" s="1867"/>
    </row>
    <row r="523" spans="5:8">
      <c r="E523" s="1864"/>
      <c r="F523" s="1864"/>
      <c r="G523" s="1864"/>
      <c r="H523" s="1867"/>
    </row>
    <row r="524" spans="5:8">
      <c r="E524" s="1864"/>
      <c r="F524" s="1864"/>
      <c r="G524" s="1864"/>
      <c r="H524" s="1867"/>
    </row>
    <row r="525" spans="5:8">
      <c r="E525" s="1864"/>
      <c r="F525" s="1864"/>
      <c r="G525" s="1864"/>
      <c r="H525" s="1867"/>
    </row>
    <row r="526" spans="5:8">
      <c r="E526" s="1864"/>
      <c r="F526" s="1864"/>
      <c r="G526" s="1864"/>
      <c r="H526" s="1867"/>
    </row>
    <row r="527" spans="5:8">
      <c r="E527" s="1864"/>
      <c r="F527" s="1864"/>
      <c r="G527" s="1864"/>
      <c r="H527" s="1867"/>
    </row>
    <row r="528" spans="5:8">
      <c r="E528" s="1864"/>
      <c r="F528" s="1864"/>
      <c r="G528" s="1864"/>
      <c r="H528" s="1867"/>
    </row>
    <row r="529" spans="5:8">
      <c r="E529" s="1864"/>
      <c r="F529" s="1864"/>
      <c r="G529" s="1864"/>
      <c r="H529" s="1867"/>
    </row>
    <row r="530" spans="5:8">
      <c r="E530" s="1864"/>
      <c r="F530" s="1864"/>
      <c r="G530" s="1864"/>
      <c r="H530" s="1867"/>
    </row>
    <row r="531" spans="5:8">
      <c r="E531" s="1864"/>
      <c r="F531" s="1864"/>
      <c r="G531" s="1864"/>
      <c r="H531" s="1867"/>
    </row>
    <row r="532" spans="5:8">
      <c r="E532" s="1864"/>
      <c r="F532" s="1864"/>
      <c r="G532" s="1864"/>
      <c r="H532" s="1867"/>
    </row>
    <row r="533" spans="5:8">
      <c r="E533" s="1864"/>
      <c r="F533" s="1864"/>
      <c r="G533" s="1864"/>
      <c r="H533" s="1867"/>
    </row>
    <row r="534" spans="5:8">
      <c r="E534" s="1864"/>
      <c r="F534" s="1864"/>
      <c r="G534" s="1864"/>
      <c r="H534" s="1867"/>
    </row>
    <row r="535" spans="5:8">
      <c r="E535" s="1864"/>
      <c r="F535" s="1864"/>
      <c r="G535" s="1864"/>
      <c r="H535" s="1867"/>
    </row>
    <row r="536" spans="5:8">
      <c r="E536" s="1864"/>
      <c r="F536" s="1864"/>
      <c r="G536" s="1864"/>
      <c r="H536" s="1867"/>
    </row>
    <row r="537" spans="5:8">
      <c r="E537" s="1864"/>
      <c r="F537" s="1864"/>
      <c r="G537" s="1864"/>
      <c r="H537" s="1867"/>
    </row>
    <row r="538" spans="5:8">
      <c r="E538" s="1864"/>
      <c r="F538" s="1864"/>
      <c r="G538" s="1864"/>
      <c r="H538" s="1867"/>
    </row>
    <row r="539" spans="5:8">
      <c r="E539" s="1864"/>
      <c r="F539" s="1864"/>
      <c r="G539" s="1864"/>
      <c r="H539" s="1867"/>
    </row>
    <row r="540" spans="5:8">
      <c r="E540" s="1864"/>
      <c r="F540" s="1864"/>
      <c r="G540" s="1864"/>
      <c r="H540" s="1867"/>
    </row>
    <row r="541" spans="5:8">
      <c r="E541" s="1864"/>
      <c r="F541" s="1864"/>
      <c r="G541" s="1864"/>
      <c r="H541" s="1867"/>
    </row>
    <row r="542" spans="5:8">
      <c r="E542" s="1864"/>
      <c r="F542" s="1864"/>
      <c r="G542" s="1864"/>
      <c r="H542" s="1867"/>
    </row>
    <row r="543" spans="5:8">
      <c r="E543" s="1864"/>
      <c r="F543" s="1864"/>
      <c r="G543" s="1864"/>
      <c r="H543" s="1867"/>
    </row>
    <row r="544" spans="5:8">
      <c r="E544" s="1864"/>
      <c r="F544" s="1864"/>
      <c r="G544" s="1864"/>
      <c r="H544" s="1867"/>
    </row>
    <row r="545" spans="5:8">
      <c r="E545" s="1864"/>
      <c r="F545" s="1864"/>
      <c r="G545" s="1864"/>
      <c r="H545" s="1867"/>
    </row>
    <row r="546" spans="5:8">
      <c r="E546" s="1864"/>
      <c r="F546" s="1864"/>
      <c r="G546" s="1864"/>
      <c r="H546" s="1867"/>
    </row>
    <row r="547" spans="5:8">
      <c r="E547" s="1864"/>
      <c r="F547" s="1864"/>
      <c r="G547" s="1864"/>
      <c r="H547" s="1867"/>
    </row>
    <row r="548" spans="5:8">
      <c r="E548" s="1864"/>
      <c r="F548" s="1864"/>
      <c r="G548" s="1864"/>
      <c r="H548" s="1867"/>
    </row>
    <row r="549" spans="5:8">
      <c r="E549" s="1864"/>
      <c r="F549" s="1864"/>
      <c r="G549" s="1864"/>
      <c r="H549" s="1867"/>
    </row>
    <row r="550" spans="5:8">
      <c r="E550" s="1864"/>
      <c r="F550" s="1864"/>
      <c r="G550" s="1864"/>
      <c r="H550" s="1867"/>
    </row>
    <row r="551" spans="5:8">
      <c r="E551" s="1864"/>
      <c r="F551" s="1864"/>
      <c r="G551" s="1864"/>
      <c r="H551" s="1867"/>
    </row>
    <row r="552" spans="5:8">
      <c r="E552" s="1864"/>
      <c r="F552" s="1864"/>
      <c r="G552" s="1864"/>
      <c r="H552" s="1867"/>
    </row>
    <row r="553" spans="5:8">
      <c r="E553" s="1864"/>
      <c r="F553" s="1864"/>
      <c r="G553" s="1864"/>
      <c r="H553" s="1867"/>
    </row>
    <row r="554" spans="5:8">
      <c r="E554" s="1864"/>
      <c r="F554" s="1864"/>
      <c r="G554" s="1864"/>
      <c r="H554" s="1867"/>
    </row>
    <row r="555" spans="5:8">
      <c r="E555" s="1864"/>
      <c r="F555" s="1864"/>
      <c r="G555" s="1864"/>
      <c r="H555" s="1867"/>
    </row>
    <row r="556" spans="5:8">
      <c r="E556" s="1864"/>
      <c r="F556" s="1864"/>
      <c r="G556" s="1864"/>
      <c r="H556" s="1867"/>
    </row>
    <row r="557" spans="5:8">
      <c r="E557" s="1864"/>
      <c r="F557" s="1864"/>
      <c r="G557" s="1864"/>
      <c r="H557" s="1867"/>
    </row>
    <row r="558" spans="5:8">
      <c r="E558" s="1864"/>
      <c r="F558" s="1864"/>
      <c r="G558" s="1864"/>
      <c r="H558" s="1867"/>
    </row>
    <row r="559" spans="5:8">
      <c r="E559" s="1864"/>
      <c r="F559" s="1864"/>
      <c r="G559" s="1864"/>
      <c r="H559" s="1867"/>
    </row>
    <row r="560" spans="5:8">
      <c r="E560" s="1864"/>
      <c r="F560" s="1864"/>
      <c r="G560" s="1864"/>
      <c r="H560" s="1867"/>
    </row>
    <row r="561" spans="5:8">
      <c r="E561" s="1864"/>
      <c r="F561" s="1864"/>
      <c r="G561" s="1864"/>
      <c r="H561" s="1867"/>
    </row>
    <row r="562" spans="5:8">
      <c r="E562" s="1864"/>
      <c r="F562" s="1864"/>
      <c r="G562" s="1864"/>
      <c r="H562" s="1867"/>
    </row>
    <row r="563" spans="5:8">
      <c r="E563" s="1864"/>
      <c r="F563" s="1864"/>
      <c r="G563" s="1864"/>
      <c r="H563" s="1867"/>
    </row>
    <row r="564" spans="5:8">
      <c r="E564" s="1864"/>
      <c r="F564" s="1864"/>
      <c r="G564" s="1864"/>
      <c r="H564" s="1867"/>
    </row>
    <row r="565" spans="5:8">
      <c r="E565" s="1864"/>
      <c r="F565" s="1864"/>
      <c r="G565" s="1864"/>
      <c r="H565" s="1867"/>
    </row>
    <row r="566" spans="5:8">
      <c r="E566" s="1864"/>
      <c r="F566" s="1864"/>
      <c r="G566" s="1864"/>
      <c r="H566" s="1867"/>
    </row>
    <row r="567" spans="5:8">
      <c r="E567" s="1864"/>
      <c r="F567" s="1864"/>
      <c r="G567" s="1864"/>
      <c r="H567" s="1867"/>
    </row>
    <row r="568" spans="5:8">
      <c r="E568" s="1864"/>
      <c r="F568" s="1864"/>
      <c r="G568" s="1864"/>
      <c r="H568" s="1867"/>
    </row>
    <row r="569" spans="5:8">
      <c r="E569" s="1864"/>
      <c r="F569" s="1864"/>
      <c r="G569" s="1864"/>
      <c r="H569" s="1867"/>
    </row>
    <row r="570" spans="5:8">
      <c r="E570" s="1864"/>
      <c r="F570" s="1864"/>
      <c r="G570" s="1864"/>
      <c r="H570" s="1867"/>
    </row>
    <row r="571" spans="5:8">
      <c r="E571" s="1864"/>
      <c r="F571" s="1864"/>
      <c r="G571" s="1864"/>
      <c r="H571" s="1867"/>
    </row>
    <row r="572" spans="5:8">
      <c r="E572" s="1864"/>
      <c r="F572" s="1864"/>
      <c r="G572" s="1864"/>
      <c r="H572" s="1867"/>
    </row>
    <row r="573" spans="5:8">
      <c r="E573" s="1864"/>
      <c r="F573" s="1864"/>
      <c r="G573" s="1864"/>
      <c r="H573" s="1867"/>
    </row>
    <row r="574" spans="5:8">
      <c r="E574" s="1864"/>
      <c r="F574" s="1864"/>
      <c r="G574" s="1864"/>
      <c r="H574" s="1867"/>
    </row>
    <row r="575" spans="5:8">
      <c r="E575" s="1864"/>
      <c r="F575" s="1864"/>
      <c r="G575" s="1864"/>
      <c r="H575" s="1867"/>
    </row>
    <row r="576" spans="5:8">
      <c r="E576" s="1864"/>
      <c r="F576" s="1864"/>
      <c r="G576" s="1864"/>
      <c r="H576" s="1867"/>
    </row>
    <row r="577" spans="5:8">
      <c r="E577" s="1864"/>
      <c r="F577" s="1864"/>
      <c r="G577" s="1864"/>
      <c r="H577" s="1867"/>
    </row>
    <row r="578" spans="5:8">
      <c r="E578" s="1864"/>
      <c r="F578" s="1864"/>
      <c r="G578" s="1864"/>
      <c r="H578" s="1867"/>
    </row>
    <row r="579" spans="5:8">
      <c r="E579" s="1864"/>
      <c r="F579" s="1864"/>
      <c r="G579" s="1864"/>
      <c r="H579" s="1867"/>
    </row>
    <row r="580" spans="5:8">
      <c r="E580" s="1864"/>
      <c r="F580" s="1864"/>
      <c r="G580" s="1864"/>
      <c r="H580" s="1867"/>
    </row>
    <row r="581" spans="5:8">
      <c r="E581" s="1864"/>
      <c r="F581" s="1864"/>
      <c r="G581" s="1864"/>
      <c r="H581" s="1867"/>
    </row>
    <row r="582" spans="5:8">
      <c r="E582" s="1864"/>
      <c r="F582" s="1864"/>
      <c r="G582" s="1864"/>
      <c r="H582" s="1867"/>
    </row>
    <row r="583" spans="5:8">
      <c r="E583" s="1864"/>
      <c r="F583" s="1864"/>
      <c r="G583" s="1864"/>
      <c r="H583" s="1867"/>
    </row>
    <row r="584" spans="5:8">
      <c r="E584" s="1864"/>
      <c r="F584" s="1864"/>
      <c r="G584" s="1864"/>
      <c r="H584" s="1867"/>
    </row>
    <row r="585" spans="5:8">
      <c r="E585" s="1864"/>
      <c r="F585" s="1864"/>
      <c r="G585" s="1864"/>
      <c r="H585" s="1867"/>
    </row>
    <row r="586" spans="5:8">
      <c r="E586" s="1864"/>
      <c r="F586" s="1864"/>
      <c r="G586" s="1864"/>
      <c r="H586" s="1867"/>
    </row>
    <row r="587" spans="5:8">
      <c r="E587" s="1864"/>
      <c r="F587" s="1864"/>
      <c r="G587" s="1864"/>
      <c r="H587" s="1867"/>
    </row>
    <row r="588" spans="5:8">
      <c r="E588" s="1864"/>
      <c r="F588" s="1864"/>
      <c r="G588" s="1864"/>
      <c r="H588" s="1867"/>
    </row>
    <row r="589" spans="5:8">
      <c r="E589" s="1864"/>
      <c r="F589" s="1864"/>
      <c r="G589" s="1864"/>
      <c r="H589" s="1867"/>
    </row>
    <row r="590" spans="5:8">
      <c r="E590" s="1864"/>
      <c r="F590" s="1864"/>
      <c r="G590" s="1864"/>
      <c r="H590" s="1867"/>
    </row>
    <row r="591" spans="5:8">
      <c r="E591" s="1864"/>
      <c r="F591" s="1864"/>
      <c r="G591" s="1864"/>
      <c r="H591" s="1867"/>
    </row>
    <row r="592" spans="5:8">
      <c r="E592" s="1864"/>
      <c r="F592" s="1864"/>
      <c r="G592" s="1864"/>
      <c r="H592" s="1867"/>
    </row>
    <row r="593" spans="5:8">
      <c r="E593" s="1864"/>
      <c r="F593" s="1864"/>
      <c r="G593" s="1864"/>
      <c r="H593" s="1867"/>
    </row>
    <row r="594" spans="5:8">
      <c r="E594" s="1864"/>
      <c r="F594" s="1864"/>
      <c r="G594" s="1864"/>
      <c r="H594" s="1867"/>
    </row>
    <row r="595" spans="5:8">
      <c r="E595" s="1864"/>
      <c r="F595" s="1864"/>
      <c r="G595" s="1864"/>
      <c r="H595" s="1867"/>
    </row>
    <row r="596" spans="5:8">
      <c r="E596" s="1864"/>
      <c r="F596" s="1864"/>
      <c r="G596" s="1864"/>
      <c r="H596" s="1867"/>
    </row>
    <row r="597" spans="5:8">
      <c r="E597" s="1864"/>
      <c r="F597" s="1864"/>
      <c r="G597" s="1864"/>
      <c r="H597" s="1867"/>
    </row>
    <row r="598" spans="5:8">
      <c r="E598" s="1864"/>
      <c r="F598" s="1864"/>
      <c r="G598" s="1864"/>
      <c r="H598" s="1867"/>
    </row>
    <row r="599" spans="5:8">
      <c r="E599" s="1864"/>
      <c r="F599" s="1864"/>
      <c r="G599" s="1864"/>
      <c r="H599" s="1867"/>
    </row>
    <row r="600" spans="5:8">
      <c r="E600" s="1864"/>
      <c r="F600" s="1864"/>
      <c r="G600" s="1864"/>
      <c r="H600" s="1867"/>
    </row>
    <row r="601" spans="5:8">
      <c r="E601" s="1864"/>
      <c r="F601" s="1864"/>
      <c r="G601" s="1864"/>
      <c r="H601" s="1867"/>
    </row>
    <row r="602" spans="5:8">
      <c r="E602" s="1864"/>
      <c r="F602" s="1864"/>
      <c r="G602" s="1864"/>
      <c r="H602" s="1867"/>
    </row>
    <row r="603" spans="5:8">
      <c r="E603" s="1864"/>
      <c r="F603" s="1864"/>
      <c r="G603" s="1864"/>
      <c r="H603" s="1867"/>
    </row>
    <row r="604" spans="5:8">
      <c r="E604" s="1864"/>
      <c r="F604" s="1864"/>
      <c r="G604" s="1864"/>
      <c r="H604" s="1867"/>
    </row>
    <row r="605" spans="5:8">
      <c r="E605" s="1864"/>
      <c r="F605" s="1864"/>
      <c r="G605" s="1864"/>
      <c r="H605" s="1867"/>
    </row>
    <row r="606" spans="5:8">
      <c r="E606" s="1864"/>
      <c r="F606" s="1864"/>
      <c r="G606" s="1864"/>
      <c r="H606" s="1867"/>
    </row>
    <row r="607" spans="5:8">
      <c r="E607" s="1864"/>
      <c r="F607" s="1864"/>
      <c r="G607" s="1864"/>
      <c r="H607" s="1867"/>
    </row>
    <row r="608" spans="5:8">
      <c r="E608" s="1864"/>
      <c r="F608" s="1864"/>
      <c r="G608" s="1864"/>
      <c r="H608" s="1867"/>
    </row>
    <row r="609" spans="5:8">
      <c r="E609" s="1864"/>
      <c r="F609" s="1864"/>
      <c r="G609" s="1864"/>
      <c r="H609" s="1867"/>
    </row>
    <row r="610" spans="5:8">
      <c r="E610" s="1864"/>
      <c r="F610" s="1864"/>
      <c r="G610" s="1864"/>
      <c r="H610" s="1867"/>
    </row>
    <row r="611" spans="5:8">
      <c r="E611" s="1864"/>
      <c r="F611" s="1864"/>
      <c r="G611" s="1864"/>
      <c r="H611" s="1867"/>
    </row>
    <row r="612" spans="5:8">
      <c r="E612" s="1864"/>
      <c r="F612" s="1864"/>
      <c r="G612" s="1864"/>
      <c r="H612" s="1867"/>
    </row>
    <row r="613" spans="5:8">
      <c r="E613" s="1864"/>
      <c r="F613" s="1864"/>
      <c r="G613" s="1864"/>
      <c r="H613" s="1867"/>
    </row>
    <row r="614" spans="5:8">
      <c r="E614" s="1864"/>
      <c r="F614" s="1864"/>
      <c r="G614" s="1864"/>
      <c r="H614" s="1867"/>
    </row>
    <row r="615" spans="5:8">
      <c r="E615" s="1864"/>
      <c r="F615" s="1864"/>
      <c r="G615" s="1864"/>
      <c r="H615" s="1867"/>
    </row>
    <row r="616" spans="5:8">
      <c r="E616" s="1864"/>
      <c r="F616" s="1864"/>
      <c r="G616" s="1864"/>
      <c r="H616" s="1867"/>
    </row>
    <row r="617" spans="5:8">
      <c r="E617" s="1864"/>
      <c r="F617" s="1864"/>
      <c r="G617" s="1864"/>
      <c r="H617" s="1867"/>
    </row>
    <row r="618" spans="5:8">
      <c r="E618" s="1864"/>
      <c r="F618" s="1864"/>
      <c r="G618" s="1864"/>
      <c r="H618" s="1867"/>
    </row>
    <row r="619" spans="5:8">
      <c r="E619" s="1864"/>
      <c r="F619" s="1864"/>
      <c r="G619" s="1864"/>
      <c r="H619" s="1867"/>
    </row>
    <row r="620" spans="5:8">
      <c r="E620" s="1864"/>
      <c r="F620" s="1864"/>
      <c r="G620" s="1864"/>
      <c r="H620" s="1867"/>
    </row>
    <row r="621" spans="5:8">
      <c r="E621" s="1864"/>
      <c r="F621" s="1864"/>
      <c r="G621" s="1864"/>
      <c r="H621" s="1867"/>
    </row>
    <row r="622" spans="5:8">
      <c r="E622" s="1864"/>
      <c r="F622" s="1864"/>
      <c r="G622" s="1864"/>
      <c r="H622" s="1867"/>
    </row>
    <row r="623" spans="5:8">
      <c r="E623" s="1864"/>
      <c r="F623" s="1864"/>
      <c r="G623" s="1864"/>
      <c r="H623" s="1867"/>
    </row>
    <row r="624" spans="5:8">
      <c r="E624" s="1864"/>
      <c r="F624" s="1864"/>
      <c r="G624" s="1864"/>
      <c r="H624" s="1867"/>
    </row>
    <row r="625" spans="5:8">
      <c r="E625" s="1864"/>
      <c r="F625" s="1864"/>
      <c r="G625" s="1864"/>
      <c r="H625" s="1867"/>
    </row>
    <row r="626" spans="5:8">
      <c r="E626" s="1864"/>
      <c r="F626" s="1864"/>
      <c r="G626" s="1864"/>
      <c r="H626" s="1867"/>
    </row>
    <row r="627" spans="5:8">
      <c r="E627" s="1864"/>
      <c r="F627" s="1864"/>
      <c r="G627" s="1864"/>
      <c r="H627" s="1867"/>
    </row>
    <row r="628" spans="5:8">
      <c r="E628" s="1864"/>
      <c r="F628" s="1864"/>
      <c r="G628" s="1864"/>
      <c r="H628" s="1867"/>
    </row>
    <row r="629" spans="5:8">
      <c r="E629" s="1864"/>
      <c r="F629" s="1864"/>
      <c r="G629" s="1864"/>
      <c r="H629" s="1867"/>
    </row>
    <row r="630" spans="5:8">
      <c r="E630" s="1864"/>
      <c r="F630" s="1864"/>
      <c r="G630" s="1864"/>
      <c r="H630" s="1867"/>
    </row>
    <row r="631" spans="5:8">
      <c r="E631" s="1864"/>
      <c r="F631" s="1864"/>
      <c r="G631" s="1864"/>
      <c r="H631" s="1867"/>
    </row>
    <row r="632" spans="5:8">
      <c r="E632" s="1864"/>
      <c r="F632" s="1864"/>
      <c r="G632" s="1864"/>
      <c r="H632" s="1867"/>
    </row>
    <row r="633" spans="5:8">
      <c r="E633" s="1864"/>
      <c r="F633" s="1864"/>
      <c r="G633" s="1864"/>
      <c r="H633" s="1867"/>
    </row>
    <row r="634" spans="5:8">
      <c r="E634" s="1864"/>
      <c r="F634" s="1864"/>
      <c r="G634" s="1864"/>
      <c r="H634" s="1867"/>
    </row>
    <row r="635" spans="5:8">
      <c r="E635" s="1864"/>
      <c r="F635" s="1864"/>
      <c r="G635" s="1864"/>
      <c r="H635" s="1867"/>
    </row>
    <row r="636" spans="5:8">
      <c r="E636" s="1864"/>
      <c r="F636" s="1864"/>
      <c r="G636" s="1864"/>
      <c r="H636" s="1867"/>
    </row>
    <row r="637" spans="5:8">
      <c r="E637" s="1864"/>
      <c r="F637" s="1864"/>
      <c r="G637" s="1864"/>
      <c r="H637" s="1867"/>
    </row>
    <row r="638" spans="5:8">
      <c r="E638" s="1864"/>
      <c r="F638" s="1864"/>
      <c r="G638" s="1864"/>
      <c r="H638" s="1867"/>
    </row>
    <row r="639" spans="5:8">
      <c r="E639" s="1864"/>
      <c r="F639" s="1864"/>
      <c r="G639" s="1864"/>
      <c r="H639" s="1867"/>
    </row>
    <row r="640" spans="5:8">
      <c r="E640" s="1864"/>
      <c r="F640" s="1864"/>
      <c r="G640" s="1864"/>
      <c r="H640" s="1867"/>
    </row>
    <row r="641" spans="5:8">
      <c r="E641" s="1864"/>
      <c r="F641" s="1864"/>
      <c r="G641" s="1864"/>
      <c r="H641" s="1867"/>
    </row>
    <row r="642" spans="5:8">
      <c r="E642" s="1864"/>
      <c r="F642" s="1864"/>
      <c r="G642" s="1864"/>
      <c r="H642" s="1867"/>
    </row>
    <row r="643" spans="5:8">
      <c r="E643" s="1864"/>
      <c r="F643" s="1864"/>
      <c r="G643" s="1864"/>
      <c r="H643" s="1867"/>
    </row>
    <row r="644" spans="5:8">
      <c r="E644" s="1864"/>
      <c r="F644" s="1864"/>
      <c r="G644" s="1864"/>
      <c r="H644" s="1867"/>
    </row>
    <row r="645" spans="5:8">
      <c r="E645" s="1864"/>
      <c r="F645" s="1864"/>
      <c r="G645" s="1864"/>
      <c r="H645" s="1867"/>
    </row>
    <row r="646" spans="5:8">
      <c r="E646" s="1864"/>
      <c r="F646" s="1864"/>
      <c r="G646" s="1864"/>
      <c r="H646" s="1867"/>
    </row>
    <row r="647" spans="5:8">
      <c r="E647" s="1864"/>
      <c r="F647" s="1864"/>
      <c r="G647" s="1864"/>
      <c r="H647" s="1867"/>
    </row>
    <row r="648" spans="5:8">
      <c r="E648" s="1864"/>
      <c r="F648" s="1864"/>
      <c r="G648" s="1864"/>
      <c r="H648" s="1867"/>
    </row>
    <row r="649" spans="5:8">
      <c r="E649" s="1864"/>
      <c r="F649" s="1864"/>
      <c r="G649" s="1864"/>
      <c r="H649" s="1867"/>
    </row>
    <row r="650" spans="5:8">
      <c r="E650" s="1864"/>
      <c r="F650" s="1864"/>
      <c r="G650" s="1864"/>
      <c r="H650" s="1867"/>
    </row>
    <row r="651" spans="5:8">
      <c r="E651" s="1864"/>
      <c r="F651" s="1864"/>
      <c r="G651" s="1864"/>
      <c r="H651" s="1867"/>
    </row>
    <row r="652" spans="5:8">
      <c r="E652" s="1864"/>
      <c r="F652" s="1864"/>
      <c r="G652" s="1864"/>
      <c r="H652" s="1867"/>
    </row>
    <row r="653" spans="5:8">
      <c r="E653" s="1864"/>
      <c r="F653" s="1864"/>
      <c r="G653" s="1864"/>
      <c r="H653" s="1867"/>
    </row>
    <row r="654" spans="5:8">
      <c r="E654" s="1864"/>
      <c r="F654" s="1864"/>
      <c r="G654" s="1864"/>
      <c r="H654" s="1867"/>
    </row>
    <row r="655" spans="5:8">
      <c r="E655" s="1864"/>
      <c r="F655" s="1864"/>
      <c r="G655" s="1864"/>
      <c r="H655" s="1867"/>
    </row>
    <row r="656" spans="5:8">
      <c r="E656" s="1864"/>
      <c r="F656" s="1864"/>
      <c r="G656" s="1864"/>
      <c r="H656" s="1867"/>
    </row>
    <row r="657" spans="5:8">
      <c r="E657" s="1864"/>
      <c r="F657" s="1864"/>
      <c r="G657" s="1864"/>
      <c r="H657" s="1867"/>
    </row>
    <row r="658" spans="5:8">
      <c r="E658" s="1864"/>
      <c r="F658" s="1864"/>
      <c r="G658" s="1864"/>
      <c r="H658" s="1867"/>
    </row>
    <row r="659" spans="5:8">
      <c r="E659" s="1864"/>
      <c r="F659" s="1864"/>
      <c r="G659" s="1864"/>
      <c r="H659" s="1867"/>
    </row>
    <row r="660" spans="5:8">
      <c r="E660" s="1864"/>
      <c r="F660" s="1864"/>
      <c r="G660" s="1864"/>
      <c r="H660" s="1867"/>
    </row>
    <row r="661" spans="5:8">
      <c r="E661" s="1864"/>
      <c r="F661" s="1864"/>
      <c r="G661" s="1864"/>
      <c r="H661" s="1867"/>
    </row>
    <row r="662" spans="5:8">
      <c r="E662" s="1864"/>
      <c r="F662" s="1864"/>
      <c r="G662" s="1864"/>
      <c r="H662" s="1867"/>
    </row>
    <row r="663" spans="5:8">
      <c r="E663" s="1864"/>
      <c r="F663" s="1864"/>
      <c r="G663" s="1864"/>
      <c r="H663" s="1867"/>
    </row>
    <row r="664" spans="5:8">
      <c r="E664" s="1864"/>
      <c r="F664" s="1864"/>
      <c r="G664" s="1864"/>
      <c r="H664" s="1867"/>
    </row>
    <row r="665" spans="5:8">
      <c r="E665" s="1864"/>
      <c r="F665" s="1864"/>
      <c r="G665" s="1864"/>
      <c r="H665" s="1867"/>
    </row>
    <row r="666" spans="5:8">
      <c r="E666" s="1864"/>
      <c r="F666" s="1864"/>
      <c r="G666" s="1864"/>
      <c r="H666" s="1867"/>
    </row>
    <row r="667" spans="5:8">
      <c r="E667" s="1864"/>
      <c r="F667" s="1864"/>
      <c r="G667" s="1864"/>
      <c r="H667" s="1867"/>
    </row>
    <row r="668" spans="5:8">
      <c r="E668" s="1864"/>
      <c r="F668" s="1864"/>
      <c r="G668" s="1864"/>
      <c r="H668" s="1867"/>
    </row>
    <row r="669" spans="5:8">
      <c r="E669" s="1864"/>
      <c r="F669" s="1864"/>
      <c r="G669" s="1864"/>
      <c r="H669" s="1867"/>
    </row>
    <row r="670" spans="5:8">
      <c r="E670" s="1864"/>
      <c r="F670" s="1864"/>
      <c r="G670" s="1864"/>
      <c r="H670" s="1867"/>
    </row>
    <row r="671" spans="5:8">
      <c r="E671" s="1864"/>
      <c r="F671" s="1864"/>
      <c r="G671" s="1864"/>
      <c r="H671" s="1867"/>
    </row>
    <row r="672" spans="5:8">
      <c r="E672" s="1864"/>
      <c r="F672" s="1864"/>
      <c r="G672" s="1864"/>
      <c r="H672" s="1867"/>
    </row>
    <row r="673" spans="5:8">
      <c r="E673" s="1864"/>
      <c r="F673" s="1864"/>
      <c r="G673" s="1864"/>
      <c r="H673" s="1867"/>
    </row>
    <row r="674" spans="5:8">
      <c r="E674" s="1864"/>
      <c r="F674" s="1864"/>
      <c r="G674" s="1864"/>
      <c r="H674" s="1867"/>
    </row>
    <row r="675" spans="5:8">
      <c r="E675" s="1864"/>
      <c r="F675" s="1864"/>
      <c r="G675" s="1864"/>
      <c r="H675" s="1867"/>
    </row>
    <row r="676" spans="5:8">
      <c r="E676" s="1864"/>
      <c r="F676" s="1864"/>
      <c r="G676" s="1864"/>
      <c r="H676" s="1867"/>
    </row>
    <row r="677" spans="5:8">
      <c r="E677" s="1864"/>
      <c r="F677" s="1864"/>
      <c r="G677" s="1864"/>
      <c r="H677" s="1867"/>
    </row>
    <row r="678" spans="5:8">
      <c r="E678" s="1864"/>
      <c r="F678" s="1864"/>
      <c r="G678" s="1864"/>
      <c r="H678" s="1867"/>
    </row>
    <row r="679" spans="5:8">
      <c r="E679" s="1864"/>
      <c r="F679" s="1864"/>
      <c r="G679" s="1864"/>
      <c r="H679" s="1867"/>
    </row>
    <row r="680" spans="5:8">
      <c r="E680" s="1864"/>
      <c r="F680" s="1864"/>
      <c r="G680" s="1864"/>
      <c r="H680" s="1867"/>
    </row>
    <row r="681" spans="5:8">
      <c r="E681" s="1864"/>
      <c r="F681" s="1864"/>
      <c r="G681" s="1864"/>
      <c r="H681" s="1867"/>
    </row>
    <row r="682" spans="5:8">
      <c r="E682" s="1864"/>
      <c r="F682" s="1864"/>
      <c r="G682" s="1864"/>
      <c r="H682" s="1867"/>
    </row>
    <row r="683" spans="5:8">
      <c r="E683" s="1864"/>
      <c r="F683" s="1864"/>
      <c r="G683" s="1864"/>
      <c r="H683" s="1867"/>
    </row>
    <row r="684" spans="5:8">
      <c r="E684" s="1864"/>
      <c r="F684" s="1864"/>
      <c r="G684" s="1864"/>
      <c r="H684" s="1867"/>
    </row>
    <row r="685" spans="5:8">
      <c r="E685" s="1864"/>
      <c r="F685" s="1864"/>
      <c r="G685" s="1864"/>
      <c r="H685" s="1867"/>
    </row>
    <row r="686" spans="5:8">
      <c r="E686" s="1864"/>
      <c r="F686" s="1864"/>
      <c r="G686" s="1864"/>
      <c r="H686" s="1867"/>
    </row>
    <row r="687" spans="5:8">
      <c r="E687" s="1864"/>
      <c r="F687" s="1864"/>
      <c r="G687" s="1864"/>
      <c r="H687" s="1867"/>
    </row>
    <row r="688" spans="5:8">
      <c r="E688" s="1864"/>
      <c r="F688" s="1864"/>
      <c r="G688" s="1864"/>
      <c r="H688" s="1867"/>
    </row>
    <row r="689" spans="5:8">
      <c r="E689" s="1864"/>
      <c r="F689" s="1864"/>
      <c r="G689" s="1864"/>
      <c r="H689" s="1867"/>
    </row>
    <row r="690" spans="5:8">
      <c r="E690" s="1864"/>
      <c r="F690" s="1864"/>
      <c r="G690" s="1864"/>
      <c r="H690" s="1867"/>
    </row>
    <row r="691" spans="5:8">
      <c r="E691" s="1864"/>
      <c r="F691" s="1864"/>
      <c r="G691" s="1864"/>
      <c r="H691" s="1867"/>
    </row>
    <row r="692" spans="5:8">
      <c r="E692" s="1864"/>
      <c r="F692" s="1864"/>
      <c r="G692" s="1864"/>
      <c r="H692" s="1867"/>
    </row>
    <row r="693" spans="5:8">
      <c r="E693" s="1864"/>
      <c r="F693" s="1864"/>
      <c r="G693" s="1864"/>
      <c r="H693" s="1867"/>
    </row>
    <row r="694" spans="5:8">
      <c r="E694" s="1864"/>
      <c r="F694" s="1864"/>
      <c r="G694" s="1864"/>
      <c r="H694" s="1867"/>
    </row>
    <row r="695" spans="5:8">
      <c r="E695" s="1864"/>
      <c r="F695" s="1864"/>
      <c r="G695" s="1864"/>
      <c r="H695" s="1867"/>
    </row>
    <row r="696" spans="5:8">
      <c r="E696" s="1864"/>
      <c r="F696" s="1864"/>
      <c r="G696" s="1864"/>
      <c r="H696" s="1867"/>
    </row>
    <row r="697" spans="5:8">
      <c r="E697" s="1864"/>
      <c r="F697" s="1864"/>
      <c r="G697" s="1864"/>
      <c r="H697" s="1867"/>
    </row>
    <row r="698" spans="5:8">
      <c r="E698" s="1864"/>
      <c r="F698" s="1864"/>
      <c r="G698" s="1864"/>
      <c r="H698" s="1867"/>
    </row>
    <row r="699" spans="5:8">
      <c r="E699" s="1864"/>
      <c r="F699" s="1864"/>
      <c r="G699" s="1864"/>
      <c r="H699" s="1867"/>
    </row>
    <row r="700" spans="5:8">
      <c r="E700" s="1864"/>
      <c r="F700" s="1864"/>
      <c r="G700" s="1864"/>
      <c r="H700" s="1867"/>
    </row>
    <row r="701" spans="5:8">
      <c r="E701" s="1864"/>
      <c r="F701" s="1864"/>
      <c r="G701" s="1864"/>
      <c r="H701" s="1867"/>
    </row>
    <row r="702" spans="5:8">
      <c r="E702" s="1864"/>
      <c r="F702" s="1864"/>
      <c r="G702" s="1864"/>
      <c r="H702" s="1867"/>
    </row>
    <row r="703" spans="5:8">
      <c r="E703" s="1864"/>
      <c r="F703" s="1864"/>
      <c r="G703" s="1864"/>
      <c r="H703" s="1867"/>
    </row>
    <row r="704" spans="5:8">
      <c r="E704" s="1864"/>
      <c r="F704" s="1864"/>
      <c r="G704" s="1864"/>
      <c r="H704" s="1867"/>
    </row>
    <row r="705" spans="5:8">
      <c r="E705" s="1864"/>
      <c r="F705" s="1864"/>
      <c r="G705" s="1864"/>
      <c r="H705" s="1867"/>
    </row>
    <row r="706" spans="5:8">
      <c r="E706" s="1864"/>
      <c r="F706" s="1864"/>
      <c r="G706" s="1864"/>
      <c r="H706" s="1867"/>
    </row>
    <row r="707" spans="5:8">
      <c r="E707" s="1864"/>
      <c r="F707" s="1864"/>
      <c r="G707" s="1864"/>
      <c r="H707" s="1867"/>
    </row>
    <row r="708" spans="5:8">
      <c r="E708" s="1864"/>
      <c r="F708" s="1864"/>
      <c r="G708" s="1864"/>
      <c r="H708" s="1867"/>
    </row>
    <row r="709" spans="5:8">
      <c r="E709" s="1864"/>
      <c r="F709" s="1864"/>
      <c r="G709" s="1864"/>
      <c r="H709" s="1867"/>
    </row>
    <row r="710" spans="5:8">
      <c r="E710" s="1864"/>
      <c r="F710" s="1864"/>
      <c r="G710" s="1864"/>
      <c r="H710" s="1867"/>
    </row>
    <row r="711" spans="5:8">
      <c r="E711" s="1864"/>
      <c r="F711" s="1864"/>
      <c r="G711" s="1864"/>
      <c r="H711" s="1867"/>
    </row>
    <row r="712" spans="5:8">
      <c r="E712" s="1864"/>
      <c r="F712" s="1864"/>
      <c r="G712" s="1864"/>
      <c r="H712" s="1867"/>
    </row>
    <row r="713" spans="5:8">
      <c r="E713" s="1864"/>
      <c r="F713" s="1864"/>
      <c r="G713" s="1864"/>
      <c r="H713" s="1867"/>
    </row>
    <row r="714" spans="5:8">
      <c r="E714" s="1864"/>
      <c r="F714" s="1864"/>
      <c r="G714" s="1864"/>
      <c r="H714" s="1867"/>
    </row>
    <row r="715" spans="5:8">
      <c r="E715" s="1864"/>
      <c r="F715" s="1864"/>
      <c r="G715" s="1864"/>
      <c r="H715" s="1867"/>
    </row>
    <row r="716" spans="5:8">
      <c r="E716" s="1864"/>
      <c r="F716" s="1864"/>
      <c r="G716" s="1864"/>
      <c r="H716" s="1867"/>
    </row>
    <row r="717" spans="5:8">
      <c r="E717" s="1864"/>
      <c r="F717" s="1864"/>
      <c r="G717" s="1864"/>
      <c r="H717" s="1867"/>
    </row>
    <row r="718" spans="5:8">
      <c r="E718" s="1864"/>
      <c r="F718" s="1864"/>
      <c r="G718" s="1864"/>
      <c r="H718" s="1867"/>
    </row>
    <row r="719" spans="5:8">
      <c r="E719" s="1864"/>
      <c r="F719" s="1864"/>
      <c r="G719" s="1864"/>
      <c r="H719" s="1867"/>
    </row>
    <row r="720" spans="5:8">
      <c r="E720" s="1864"/>
      <c r="F720" s="1864"/>
      <c r="G720" s="1864"/>
      <c r="H720" s="1867"/>
    </row>
    <row r="721" spans="5:8">
      <c r="E721" s="1864"/>
      <c r="F721" s="1864"/>
      <c r="G721" s="1864"/>
      <c r="H721" s="1867"/>
    </row>
    <row r="722" spans="5:8">
      <c r="E722" s="1864"/>
      <c r="F722" s="1864"/>
      <c r="G722" s="1864"/>
      <c r="H722" s="1867"/>
    </row>
    <row r="723" spans="5:8">
      <c r="E723" s="1864"/>
      <c r="F723" s="1864"/>
      <c r="G723" s="1864"/>
      <c r="H723" s="1867"/>
    </row>
    <row r="724" spans="5:8">
      <c r="E724" s="1864"/>
      <c r="F724" s="1864"/>
      <c r="G724" s="1864"/>
      <c r="H724" s="1867"/>
    </row>
    <row r="725" spans="5:8">
      <c r="E725" s="1864"/>
      <c r="F725" s="1864"/>
      <c r="G725" s="1864"/>
      <c r="H725" s="1867"/>
    </row>
    <row r="726" spans="5:8">
      <c r="E726" s="1864"/>
      <c r="F726" s="1864"/>
      <c r="G726" s="1864"/>
      <c r="H726" s="1867"/>
    </row>
    <row r="727" spans="5:8">
      <c r="E727" s="1864"/>
      <c r="F727" s="1864"/>
      <c r="G727" s="1864"/>
      <c r="H727" s="1867"/>
    </row>
    <row r="728" spans="5:8">
      <c r="E728" s="1864"/>
      <c r="F728" s="1864"/>
      <c r="G728" s="1864"/>
      <c r="H728" s="1867"/>
    </row>
    <row r="729" spans="5:8">
      <c r="E729" s="1864"/>
      <c r="F729" s="1864"/>
      <c r="G729" s="1864"/>
      <c r="H729" s="1867"/>
    </row>
    <row r="730" spans="5:8">
      <c r="E730" s="1864"/>
      <c r="F730" s="1864"/>
      <c r="G730" s="1864"/>
      <c r="H730" s="1867"/>
    </row>
    <row r="731" spans="5:8">
      <c r="E731" s="1864"/>
      <c r="F731" s="1864"/>
      <c r="G731" s="1864"/>
      <c r="H731" s="1867"/>
    </row>
    <row r="732" spans="5:8">
      <c r="E732" s="1864"/>
      <c r="F732" s="1864"/>
      <c r="G732" s="1864"/>
      <c r="H732" s="1867"/>
    </row>
    <row r="733" spans="5:8">
      <c r="E733" s="1864"/>
      <c r="F733" s="1864"/>
      <c r="G733" s="1864"/>
      <c r="H733" s="1867"/>
    </row>
    <row r="734" spans="5:8">
      <c r="E734" s="1864"/>
      <c r="F734" s="1864"/>
      <c r="G734" s="1864"/>
      <c r="H734" s="1867"/>
    </row>
    <row r="735" spans="5:8">
      <c r="E735" s="1864"/>
      <c r="F735" s="1864"/>
      <c r="G735" s="1864"/>
      <c r="H735" s="1867"/>
    </row>
    <row r="736" spans="5:8">
      <c r="E736" s="1864"/>
      <c r="F736" s="1864"/>
      <c r="G736" s="1864"/>
      <c r="H736" s="1867"/>
    </row>
    <row r="737" spans="5:8">
      <c r="E737" s="1864"/>
      <c r="F737" s="1864"/>
      <c r="G737" s="1864"/>
      <c r="H737" s="1867"/>
    </row>
    <row r="738" spans="5:8">
      <c r="E738" s="1864"/>
      <c r="F738" s="1864"/>
      <c r="G738" s="1864"/>
      <c r="H738" s="1867"/>
    </row>
    <row r="739" spans="5:8">
      <c r="E739" s="1864"/>
      <c r="F739" s="1864"/>
      <c r="G739" s="1864"/>
      <c r="H739" s="1867"/>
    </row>
    <row r="740" spans="5:8">
      <c r="E740" s="1864"/>
      <c r="F740" s="1864"/>
      <c r="G740" s="1864"/>
      <c r="H740" s="1867"/>
    </row>
    <row r="741" spans="5:8">
      <c r="E741" s="1864"/>
      <c r="F741" s="1864"/>
      <c r="G741" s="1864"/>
      <c r="H741" s="1867"/>
    </row>
    <row r="742" spans="5:8">
      <c r="E742" s="1864"/>
      <c r="F742" s="1864"/>
      <c r="G742" s="1864"/>
      <c r="H742" s="1867"/>
    </row>
    <row r="743" spans="5:8">
      <c r="E743" s="1864"/>
      <c r="F743" s="1864"/>
      <c r="G743" s="1864"/>
      <c r="H743" s="1867"/>
    </row>
    <row r="744" spans="5:8">
      <c r="E744" s="1864"/>
      <c r="F744" s="1864"/>
      <c r="G744" s="1864"/>
      <c r="H744" s="1867"/>
    </row>
    <row r="745" spans="5:8">
      <c r="E745" s="1864"/>
      <c r="F745" s="1864"/>
      <c r="G745" s="1864"/>
      <c r="H745" s="1867"/>
    </row>
    <row r="746" spans="5:8">
      <c r="E746" s="1864"/>
      <c r="F746" s="1864"/>
      <c r="G746" s="1864"/>
      <c r="H746" s="1867"/>
    </row>
    <row r="747" spans="5:8">
      <c r="E747" s="1864"/>
      <c r="F747" s="1864"/>
      <c r="G747" s="1864"/>
      <c r="H747" s="1867"/>
    </row>
    <row r="748" spans="5:8">
      <c r="E748" s="1864"/>
      <c r="F748" s="1864"/>
      <c r="G748" s="1864"/>
      <c r="H748" s="1867"/>
    </row>
    <row r="749" spans="5:8">
      <c r="E749" s="1864"/>
      <c r="F749" s="1864"/>
      <c r="G749" s="1864"/>
      <c r="H749" s="1867"/>
    </row>
    <row r="750" spans="5:8">
      <c r="E750" s="1864"/>
      <c r="F750" s="1864"/>
      <c r="G750" s="1864"/>
      <c r="H750" s="1867"/>
    </row>
    <row r="751" spans="5:8">
      <c r="E751" s="1864"/>
      <c r="F751" s="1864"/>
      <c r="G751" s="1864"/>
      <c r="H751" s="1867"/>
    </row>
    <row r="752" spans="5:8">
      <c r="E752" s="1864"/>
      <c r="F752" s="1864"/>
      <c r="G752" s="1864"/>
      <c r="H752" s="1867"/>
    </row>
    <row r="753" spans="5:8">
      <c r="E753" s="1864"/>
      <c r="F753" s="1864"/>
      <c r="G753" s="1864"/>
      <c r="H753" s="1867"/>
    </row>
    <row r="754" spans="5:8">
      <c r="E754" s="1864"/>
      <c r="F754" s="1864"/>
      <c r="G754" s="1864"/>
      <c r="H754" s="1867"/>
    </row>
    <row r="755" spans="5:8">
      <c r="E755" s="1864"/>
      <c r="F755" s="1864"/>
      <c r="G755" s="1864"/>
      <c r="H755" s="1867"/>
    </row>
    <row r="756" spans="5:8">
      <c r="E756" s="1864"/>
      <c r="F756" s="1864"/>
      <c r="G756" s="1864"/>
      <c r="H756" s="1867"/>
    </row>
    <row r="757" spans="5:8">
      <c r="E757" s="1864"/>
      <c r="F757" s="1864"/>
      <c r="G757" s="1864"/>
      <c r="H757" s="1867"/>
    </row>
    <row r="758" spans="5:8">
      <c r="E758" s="1864"/>
      <c r="F758" s="1864"/>
      <c r="G758" s="1864"/>
      <c r="H758" s="1867"/>
    </row>
    <row r="759" spans="5:8">
      <c r="E759" s="1864"/>
      <c r="F759" s="1864"/>
      <c r="G759" s="1864"/>
      <c r="H759" s="1867"/>
    </row>
    <row r="760" spans="5:8">
      <c r="E760" s="1864"/>
      <c r="F760" s="1864"/>
      <c r="G760" s="1864"/>
      <c r="H760" s="1867"/>
    </row>
    <row r="761" spans="5:8">
      <c r="E761" s="1864"/>
      <c r="F761" s="1864"/>
      <c r="G761" s="1864"/>
      <c r="H761" s="1867"/>
    </row>
    <row r="762" spans="5:8">
      <c r="E762" s="1864"/>
      <c r="F762" s="1864"/>
      <c r="G762" s="1864"/>
      <c r="H762" s="1867"/>
    </row>
    <row r="763" spans="5:8">
      <c r="E763" s="1864"/>
      <c r="F763" s="1864"/>
      <c r="G763" s="1864"/>
      <c r="H763" s="1867"/>
    </row>
    <row r="764" spans="5:8">
      <c r="E764" s="1864"/>
      <c r="F764" s="1864"/>
      <c r="G764" s="1864"/>
      <c r="H764" s="1867"/>
    </row>
    <row r="765" spans="5:8">
      <c r="E765" s="1864"/>
      <c r="F765" s="1864"/>
      <c r="G765" s="1864"/>
      <c r="H765" s="1867"/>
    </row>
    <row r="766" spans="5:8">
      <c r="E766" s="1864"/>
      <c r="F766" s="1864"/>
      <c r="G766" s="1864"/>
      <c r="H766" s="1867"/>
    </row>
    <row r="767" spans="5:8">
      <c r="E767" s="1864"/>
      <c r="F767" s="1864"/>
      <c r="G767" s="1864"/>
      <c r="H767" s="1867"/>
    </row>
    <row r="768" spans="5:8">
      <c r="E768" s="1864"/>
      <c r="F768" s="1864"/>
      <c r="G768" s="1864"/>
      <c r="H768" s="1867"/>
    </row>
    <row r="769" spans="5:8">
      <c r="E769" s="1864"/>
      <c r="F769" s="1864"/>
      <c r="G769" s="1864"/>
      <c r="H769" s="1867"/>
    </row>
    <row r="770" spans="5:8">
      <c r="E770" s="1864"/>
      <c r="F770" s="1864"/>
      <c r="G770" s="1864"/>
      <c r="H770" s="1867"/>
    </row>
    <row r="771" spans="5:8">
      <c r="E771" s="1864"/>
      <c r="F771" s="1864"/>
      <c r="G771" s="1864"/>
      <c r="H771" s="1867"/>
    </row>
    <row r="772" spans="5:8">
      <c r="E772" s="1864"/>
      <c r="F772" s="1864"/>
      <c r="G772" s="1864"/>
      <c r="H772" s="1867"/>
    </row>
    <row r="773" spans="5:8">
      <c r="E773" s="1864"/>
      <c r="F773" s="1864"/>
      <c r="G773" s="1864"/>
      <c r="H773" s="1867"/>
    </row>
    <row r="774" spans="5:8">
      <c r="E774" s="1864"/>
      <c r="F774" s="1864"/>
      <c r="G774" s="1864"/>
      <c r="H774" s="1867"/>
    </row>
    <row r="775" spans="5:8">
      <c r="E775" s="1864"/>
      <c r="F775" s="1864"/>
      <c r="G775" s="1864"/>
      <c r="H775" s="1867"/>
    </row>
    <row r="776" spans="5:8">
      <c r="E776" s="1864"/>
      <c r="F776" s="1864"/>
      <c r="G776" s="1864"/>
      <c r="H776" s="1867"/>
    </row>
    <row r="777" spans="5:8">
      <c r="E777" s="1864"/>
      <c r="F777" s="1864"/>
      <c r="G777" s="1864"/>
      <c r="H777" s="1867"/>
    </row>
    <row r="778" spans="5:8">
      <c r="E778" s="1864"/>
      <c r="F778" s="1864"/>
      <c r="G778" s="1864"/>
      <c r="H778" s="1867"/>
    </row>
    <row r="779" spans="5:8">
      <c r="E779" s="1864"/>
      <c r="F779" s="1864"/>
      <c r="G779" s="1864"/>
      <c r="H779" s="1867"/>
    </row>
    <row r="780" spans="5:8">
      <c r="E780" s="1864"/>
      <c r="F780" s="1864"/>
      <c r="G780" s="1864"/>
      <c r="H780" s="1867"/>
    </row>
    <row r="781" spans="5:8">
      <c r="E781" s="1864"/>
      <c r="F781" s="1864"/>
      <c r="G781" s="1864"/>
      <c r="H781" s="1867"/>
    </row>
    <row r="782" spans="5:8">
      <c r="E782" s="1864"/>
      <c r="F782" s="1864"/>
      <c r="G782" s="1864"/>
      <c r="H782" s="1867"/>
    </row>
    <row r="783" spans="5:8">
      <c r="E783" s="1864"/>
      <c r="F783" s="1864"/>
      <c r="G783" s="1864"/>
      <c r="H783" s="1867"/>
    </row>
    <row r="784" spans="5:8">
      <c r="E784" s="1864"/>
      <c r="F784" s="1864"/>
      <c r="G784" s="1864"/>
      <c r="H784" s="1867"/>
    </row>
  </sheetData>
  <mergeCells count="37">
    <mergeCell ref="B43:D43"/>
    <mergeCell ref="C37:D37"/>
    <mergeCell ref="B38:D38"/>
    <mergeCell ref="B39:D39"/>
    <mergeCell ref="B40:D40"/>
    <mergeCell ref="B41:D41"/>
    <mergeCell ref="B42:D42"/>
    <mergeCell ref="C36:D36"/>
    <mergeCell ref="C25:D25"/>
    <mergeCell ref="C26:D26"/>
    <mergeCell ref="C27:D27"/>
    <mergeCell ref="C28:D28"/>
    <mergeCell ref="C29:D29"/>
    <mergeCell ref="C30:D30"/>
    <mergeCell ref="C31:D31"/>
    <mergeCell ref="B32:D32"/>
    <mergeCell ref="B33:D33"/>
    <mergeCell ref="C34:D34"/>
    <mergeCell ref="C35:D35"/>
    <mergeCell ref="B24:D24"/>
    <mergeCell ref="B11:D11"/>
    <mergeCell ref="B12:D12"/>
    <mergeCell ref="B14:D14"/>
    <mergeCell ref="B15:D15"/>
    <mergeCell ref="B16:D16"/>
    <mergeCell ref="B17:D17"/>
    <mergeCell ref="B18:D18"/>
    <mergeCell ref="B19:D19"/>
    <mergeCell ref="B20:D20"/>
    <mergeCell ref="B21:D21"/>
    <mergeCell ref="A23:D23"/>
    <mergeCell ref="B10:D10"/>
    <mergeCell ref="A2:H2"/>
    <mergeCell ref="A3:I3"/>
    <mergeCell ref="A4:I4"/>
    <mergeCell ref="A8:D8"/>
    <mergeCell ref="B9:D9"/>
  </mergeCells>
  <printOptions headings="1"/>
  <pageMargins left="0.51181102362204722" right="0.51181102362204722" top="0.74803149606299213" bottom="0.74803149606299213" header="0.31496062992125984" footer="0.31496062992125984"/>
  <pageSetup paperSize="9" scale="75" orientation="portrait" r:id="rId1"/>
  <headerFooter>
    <oddHeader>&amp;R&amp;A melléklet a /2026.(V.28.) önkormányzati rendelethez/ &amp;P.oldal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82960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22</vt:i4>
      </vt:variant>
      <vt:variant>
        <vt:lpstr>Névvel ellátott tartományok</vt:lpstr>
      </vt:variant>
      <vt:variant>
        <vt:i4>171</vt:i4>
      </vt:variant>
    </vt:vector>
  </HeadingPairs>
  <TitlesOfParts>
    <vt:vector size="193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</vt:lpstr>
      <vt:lpstr>21</vt:lpstr>
      <vt:lpstr>22.</vt:lpstr>
      <vt:lpstr>'1.'!Nyomtatási_terület</vt:lpstr>
      <vt:lpstr>'10.'!Nyomtatási_terület</vt:lpstr>
      <vt:lpstr>'11.'!Nyomtatási_terület</vt:lpstr>
      <vt:lpstr>'12.'!Nyomtatási_terület</vt:lpstr>
      <vt:lpstr>'13.'!Nyomtatási_terület</vt:lpstr>
      <vt:lpstr>'17.'!Nyomtatási_terület</vt:lpstr>
      <vt:lpstr>'2.'!Nyomtatási_terület</vt:lpstr>
      <vt:lpstr>'20'!Nyomtatási_terület</vt:lpstr>
      <vt:lpstr>'21'!Nyomtatási_terület</vt:lpstr>
      <vt:lpstr>'3.'!Nyomtatási_terület</vt:lpstr>
      <vt:lpstr>'4.'!Nyomtatási_terület</vt:lpstr>
      <vt:lpstr>'5.'!Nyomtatási_terület</vt:lpstr>
      <vt:lpstr>'6.'!Nyomtatási_terület</vt:lpstr>
      <vt:lpstr>'7.'!Nyomtatási_terület</vt:lpstr>
      <vt:lpstr>'9.'!Nyomtatási_terület</vt:lpstr>
      <vt:lpstr>'1.'!Print_Area_0</vt:lpstr>
      <vt:lpstr>'10.'!Print_Area_0</vt:lpstr>
      <vt:lpstr>'11.'!Print_Area_0</vt:lpstr>
      <vt:lpstr>'12.'!Print_Area_0</vt:lpstr>
      <vt:lpstr>'13.'!Print_Area_0</vt:lpstr>
      <vt:lpstr>'2.'!Print_Area_0</vt:lpstr>
      <vt:lpstr>'3.'!Print_Area_0</vt:lpstr>
      <vt:lpstr>'4.'!Print_Area_0</vt:lpstr>
      <vt:lpstr>'5.'!Print_Area_0</vt:lpstr>
      <vt:lpstr>'6.'!Print_Area_0</vt:lpstr>
      <vt:lpstr>'7.'!Print_Area_0</vt:lpstr>
      <vt:lpstr>'9.'!Print_Area_0</vt:lpstr>
      <vt:lpstr>'1.'!Print_Area_0_0</vt:lpstr>
      <vt:lpstr>'10.'!Print_Area_0_0</vt:lpstr>
      <vt:lpstr>'11.'!Print_Area_0_0</vt:lpstr>
      <vt:lpstr>'12.'!Print_Area_0_0</vt:lpstr>
      <vt:lpstr>'13.'!Print_Area_0_0</vt:lpstr>
      <vt:lpstr>'2.'!Print_Area_0_0</vt:lpstr>
      <vt:lpstr>'3.'!Print_Area_0_0</vt:lpstr>
      <vt:lpstr>'4.'!Print_Area_0_0</vt:lpstr>
      <vt:lpstr>'5.'!Print_Area_0_0</vt:lpstr>
      <vt:lpstr>'6.'!Print_Area_0_0</vt:lpstr>
      <vt:lpstr>'7.'!Print_Area_0_0</vt:lpstr>
      <vt:lpstr>'9.'!Print_Area_0_0</vt:lpstr>
      <vt:lpstr>'1.'!Print_Area_0_0_0</vt:lpstr>
      <vt:lpstr>'10.'!Print_Area_0_0_0</vt:lpstr>
      <vt:lpstr>'11.'!Print_Area_0_0_0</vt:lpstr>
      <vt:lpstr>'12.'!Print_Area_0_0_0</vt:lpstr>
      <vt:lpstr>'13.'!Print_Area_0_0_0</vt:lpstr>
      <vt:lpstr>'2.'!Print_Area_0_0_0</vt:lpstr>
      <vt:lpstr>'3.'!Print_Area_0_0_0</vt:lpstr>
      <vt:lpstr>'4.'!Print_Area_0_0_0</vt:lpstr>
      <vt:lpstr>'5.'!Print_Area_0_0_0</vt:lpstr>
      <vt:lpstr>'6.'!Print_Area_0_0_0</vt:lpstr>
      <vt:lpstr>'7.'!Print_Area_0_0_0</vt:lpstr>
      <vt:lpstr>'9.'!Print_Area_0_0_0</vt:lpstr>
      <vt:lpstr>'1.'!Print_Area_0_0_0_0</vt:lpstr>
      <vt:lpstr>'10.'!Print_Area_0_0_0_0</vt:lpstr>
      <vt:lpstr>'11.'!Print_Area_0_0_0_0</vt:lpstr>
      <vt:lpstr>'12.'!Print_Area_0_0_0_0</vt:lpstr>
      <vt:lpstr>'13.'!Print_Area_0_0_0_0</vt:lpstr>
      <vt:lpstr>'2.'!Print_Area_0_0_0_0</vt:lpstr>
      <vt:lpstr>'3.'!Print_Area_0_0_0_0</vt:lpstr>
      <vt:lpstr>'4.'!Print_Area_0_0_0_0</vt:lpstr>
      <vt:lpstr>'5.'!Print_Area_0_0_0_0</vt:lpstr>
      <vt:lpstr>'6.'!Print_Area_0_0_0_0</vt:lpstr>
      <vt:lpstr>'7.'!Print_Area_0_0_0_0</vt:lpstr>
      <vt:lpstr>'9.'!Print_Area_0_0_0_0</vt:lpstr>
      <vt:lpstr>'1.'!Print_Area_0_0_0_0_0</vt:lpstr>
      <vt:lpstr>'10.'!Print_Area_0_0_0_0_0</vt:lpstr>
      <vt:lpstr>'11.'!Print_Area_0_0_0_0_0</vt:lpstr>
      <vt:lpstr>'12.'!Print_Area_0_0_0_0_0</vt:lpstr>
      <vt:lpstr>'13.'!Print_Area_0_0_0_0_0</vt:lpstr>
      <vt:lpstr>'2.'!Print_Area_0_0_0_0_0</vt:lpstr>
      <vt:lpstr>'3.'!Print_Area_0_0_0_0_0</vt:lpstr>
      <vt:lpstr>'4.'!Print_Area_0_0_0_0_0</vt:lpstr>
      <vt:lpstr>'5.'!Print_Area_0_0_0_0_0</vt:lpstr>
      <vt:lpstr>'6.'!Print_Area_0_0_0_0_0</vt:lpstr>
      <vt:lpstr>'7.'!Print_Area_0_0_0_0_0</vt:lpstr>
      <vt:lpstr>'9.'!Print_Area_0_0_0_0_0</vt:lpstr>
      <vt:lpstr>'1.'!Print_Area_0_0_0_0_0_0</vt:lpstr>
      <vt:lpstr>'10.'!Print_Area_0_0_0_0_0_0</vt:lpstr>
      <vt:lpstr>'11.'!Print_Area_0_0_0_0_0_0</vt:lpstr>
      <vt:lpstr>'12.'!Print_Area_0_0_0_0_0_0</vt:lpstr>
      <vt:lpstr>'13.'!Print_Area_0_0_0_0_0_0</vt:lpstr>
      <vt:lpstr>'2.'!Print_Area_0_0_0_0_0_0</vt:lpstr>
      <vt:lpstr>'3.'!Print_Area_0_0_0_0_0_0</vt:lpstr>
      <vt:lpstr>'4.'!Print_Area_0_0_0_0_0_0</vt:lpstr>
      <vt:lpstr>'5.'!Print_Area_0_0_0_0_0_0</vt:lpstr>
      <vt:lpstr>'6.'!Print_Area_0_0_0_0_0_0</vt:lpstr>
      <vt:lpstr>'7.'!Print_Area_0_0_0_0_0_0</vt:lpstr>
      <vt:lpstr>'9.'!Print_Area_0_0_0_0_0_0</vt:lpstr>
      <vt:lpstr>'1.'!Print_Area_0_0_0_0_0_0_0</vt:lpstr>
      <vt:lpstr>'10.'!Print_Area_0_0_0_0_0_0_0</vt:lpstr>
      <vt:lpstr>'11.'!Print_Area_0_0_0_0_0_0_0</vt:lpstr>
      <vt:lpstr>'12.'!Print_Area_0_0_0_0_0_0_0</vt:lpstr>
      <vt:lpstr>'13.'!Print_Area_0_0_0_0_0_0_0</vt:lpstr>
      <vt:lpstr>'2.'!Print_Area_0_0_0_0_0_0_0</vt:lpstr>
      <vt:lpstr>'3.'!Print_Area_0_0_0_0_0_0_0</vt:lpstr>
      <vt:lpstr>'4.'!Print_Area_0_0_0_0_0_0_0</vt:lpstr>
      <vt:lpstr>'5.'!Print_Area_0_0_0_0_0_0_0</vt:lpstr>
      <vt:lpstr>'6.'!Print_Area_0_0_0_0_0_0_0</vt:lpstr>
      <vt:lpstr>'7.'!Print_Area_0_0_0_0_0_0_0</vt:lpstr>
      <vt:lpstr>'9.'!Print_Area_0_0_0_0_0_0_0</vt:lpstr>
      <vt:lpstr>'1.'!Print_Area_0_0_0_0_0_0_0_0</vt:lpstr>
      <vt:lpstr>'10.'!Print_Area_0_0_0_0_0_0_0_0</vt:lpstr>
      <vt:lpstr>'11.'!Print_Area_0_0_0_0_0_0_0_0</vt:lpstr>
      <vt:lpstr>'12.'!Print_Area_0_0_0_0_0_0_0_0</vt:lpstr>
      <vt:lpstr>'13.'!Print_Area_0_0_0_0_0_0_0_0</vt:lpstr>
      <vt:lpstr>'2.'!Print_Area_0_0_0_0_0_0_0_0</vt:lpstr>
      <vt:lpstr>'3.'!Print_Area_0_0_0_0_0_0_0_0</vt:lpstr>
      <vt:lpstr>'4.'!Print_Area_0_0_0_0_0_0_0_0</vt:lpstr>
      <vt:lpstr>'5.'!Print_Area_0_0_0_0_0_0_0_0</vt:lpstr>
      <vt:lpstr>'6.'!Print_Area_0_0_0_0_0_0_0_0</vt:lpstr>
      <vt:lpstr>'7.'!Print_Area_0_0_0_0_0_0_0_0</vt:lpstr>
      <vt:lpstr>'9.'!Print_Area_0_0_0_0_0_0_0_0</vt:lpstr>
      <vt:lpstr>'1.'!Print_Area_0_0_0_0_0_0_0_0_0</vt:lpstr>
      <vt:lpstr>'10.'!Print_Area_0_0_0_0_0_0_0_0_0</vt:lpstr>
      <vt:lpstr>'11.'!Print_Area_0_0_0_0_0_0_0_0_0</vt:lpstr>
      <vt:lpstr>'12.'!Print_Area_0_0_0_0_0_0_0_0_0</vt:lpstr>
      <vt:lpstr>'13.'!Print_Area_0_0_0_0_0_0_0_0_0</vt:lpstr>
      <vt:lpstr>'2.'!Print_Area_0_0_0_0_0_0_0_0_0</vt:lpstr>
      <vt:lpstr>'3.'!Print_Area_0_0_0_0_0_0_0_0_0</vt:lpstr>
      <vt:lpstr>'4.'!Print_Area_0_0_0_0_0_0_0_0_0</vt:lpstr>
      <vt:lpstr>'5.'!Print_Area_0_0_0_0_0_0_0_0_0</vt:lpstr>
      <vt:lpstr>'6.'!Print_Area_0_0_0_0_0_0_0_0_0</vt:lpstr>
      <vt:lpstr>'7.'!Print_Area_0_0_0_0_0_0_0_0_0</vt:lpstr>
      <vt:lpstr>'9.'!Print_Area_0_0_0_0_0_0_0_0_0</vt:lpstr>
      <vt:lpstr>'1.'!Print_Area_0_0_0_0_0_0_0_0_0_0</vt:lpstr>
      <vt:lpstr>'10.'!Print_Area_0_0_0_0_0_0_0_0_0_0</vt:lpstr>
      <vt:lpstr>'11.'!Print_Area_0_0_0_0_0_0_0_0_0_0</vt:lpstr>
      <vt:lpstr>'12.'!Print_Area_0_0_0_0_0_0_0_0_0_0</vt:lpstr>
      <vt:lpstr>'13.'!Print_Area_0_0_0_0_0_0_0_0_0_0</vt:lpstr>
      <vt:lpstr>'2.'!Print_Area_0_0_0_0_0_0_0_0_0_0</vt:lpstr>
      <vt:lpstr>'3.'!Print_Area_0_0_0_0_0_0_0_0_0_0</vt:lpstr>
      <vt:lpstr>'4.'!Print_Area_0_0_0_0_0_0_0_0_0_0</vt:lpstr>
      <vt:lpstr>'5.'!Print_Area_0_0_0_0_0_0_0_0_0_0</vt:lpstr>
      <vt:lpstr>'6.'!Print_Area_0_0_0_0_0_0_0_0_0_0</vt:lpstr>
      <vt:lpstr>'7.'!Print_Area_0_0_0_0_0_0_0_0_0_0</vt:lpstr>
      <vt:lpstr>'9.'!Print_Area_0_0_0_0_0_0_0_0_0_0</vt:lpstr>
      <vt:lpstr>'1.'!Print_Area_0_0_0_0_0_0_0_0_0_0_0</vt:lpstr>
      <vt:lpstr>'10.'!Print_Area_0_0_0_0_0_0_0_0_0_0_0</vt:lpstr>
      <vt:lpstr>'11.'!Print_Area_0_0_0_0_0_0_0_0_0_0_0</vt:lpstr>
      <vt:lpstr>'12.'!Print_Area_0_0_0_0_0_0_0_0_0_0_0</vt:lpstr>
      <vt:lpstr>'13.'!Print_Area_0_0_0_0_0_0_0_0_0_0_0</vt:lpstr>
      <vt:lpstr>'2.'!Print_Area_0_0_0_0_0_0_0_0_0_0_0</vt:lpstr>
      <vt:lpstr>'3.'!Print_Area_0_0_0_0_0_0_0_0_0_0_0</vt:lpstr>
      <vt:lpstr>'4.'!Print_Area_0_0_0_0_0_0_0_0_0_0_0</vt:lpstr>
      <vt:lpstr>'5.'!Print_Area_0_0_0_0_0_0_0_0_0_0_0</vt:lpstr>
      <vt:lpstr>'6.'!Print_Area_0_0_0_0_0_0_0_0_0_0_0</vt:lpstr>
      <vt:lpstr>'7.'!Print_Area_0_0_0_0_0_0_0_0_0_0_0</vt:lpstr>
      <vt:lpstr>'9.'!Print_Area_0_0_0_0_0_0_0_0_0_0_0</vt:lpstr>
      <vt:lpstr>'1.'!Print_Area_0_0_0_0_0_0_0_0_0_0_0_0</vt:lpstr>
      <vt:lpstr>'10.'!Print_Area_0_0_0_0_0_0_0_0_0_0_0_0</vt:lpstr>
      <vt:lpstr>'11.'!Print_Area_0_0_0_0_0_0_0_0_0_0_0_0</vt:lpstr>
      <vt:lpstr>'12.'!Print_Area_0_0_0_0_0_0_0_0_0_0_0_0</vt:lpstr>
      <vt:lpstr>'13.'!Print_Area_0_0_0_0_0_0_0_0_0_0_0_0</vt:lpstr>
      <vt:lpstr>'2.'!Print_Area_0_0_0_0_0_0_0_0_0_0_0_0</vt:lpstr>
      <vt:lpstr>'3.'!Print_Area_0_0_0_0_0_0_0_0_0_0_0_0</vt:lpstr>
      <vt:lpstr>'4.'!Print_Area_0_0_0_0_0_0_0_0_0_0_0_0</vt:lpstr>
      <vt:lpstr>'5.'!Print_Area_0_0_0_0_0_0_0_0_0_0_0_0</vt:lpstr>
      <vt:lpstr>'6.'!Print_Area_0_0_0_0_0_0_0_0_0_0_0_0</vt:lpstr>
      <vt:lpstr>'7.'!Print_Area_0_0_0_0_0_0_0_0_0_0_0_0</vt:lpstr>
      <vt:lpstr>'9.'!Print_Area_0_0_0_0_0_0_0_0_0_0_0_0</vt:lpstr>
      <vt:lpstr>'1.'!Print_Area_0_0_0_0_0_0_0_0_0_0_0_0_0</vt:lpstr>
      <vt:lpstr>'10.'!Print_Area_0_0_0_0_0_0_0_0_0_0_0_0_0</vt:lpstr>
      <vt:lpstr>'11.'!Print_Area_0_0_0_0_0_0_0_0_0_0_0_0_0</vt:lpstr>
      <vt:lpstr>'12.'!Print_Area_0_0_0_0_0_0_0_0_0_0_0_0_0</vt:lpstr>
      <vt:lpstr>'13.'!Print_Area_0_0_0_0_0_0_0_0_0_0_0_0_0</vt:lpstr>
      <vt:lpstr>'2.'!Print_Area_0_0_0_0_0_0_0_0_0_0_0_0_0</vt:lpstr>
      <vt:lpstr>'3.'!Print_Area_0_0_0_0_0_0_0_0_0_0_0_0_0</vt:lpstr>
      <vt:lpstr>'4.'!Print_Area_0_0_0_0_0_0_0_0_0_0_0_0_0</vt:lpstr>
      <vt:lpstr>'5.'!Print_Area_0_0_0_0_0_0_0_0_0_0_0_0_0</vt:lpstr>
      <vt:lpstr>'6.'!Print_Area_0_0_0_0_0_0_0_0_0_0_0_0_0</vt:lpstr>
      <vt:lpstr>'7.'!Print_Area_0_0_0_0_0_0_0_0_0_0_0_0_0</vt:lpstr>
      <vt:lpstr>'9.'!Print_Area_0_0_0_0_0_0_0_0_0_0_0_0_0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ttakacs</dc:creator>
  <cp:lastModifiedBy>User</cp:lastModifiedBy>
  <cp:revision>135</cp:revision>
  <cp:lastPrinted>2026-05-13T09:53:34Z</cp:lastPrinted>
  <dcterms:created xsi:type="dcterms:W3CDTF">2005-01-04T07:18:33Z</dcterms:created>
  <dcterms:modified xsi:type="dcterms:W3CDTF">2026-05-22T08:28:18Z</dcterms:modified>
  <cp:contentStatus>Végleges</cp:contentStatus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