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/>
  </bookViews>
  <sheets>
    <sheet name="Hulladék" sheetId="1" r:id="rId1"/>
    <sheet name="CASCH Flow elemek" sheetId="2" r:id="rId2"/>
    <sheet name="Hulladek_cash_levezetese" sheetId="3" r:id="rId3"/>
    <sheet name="Követelések" sheetId="4" r:id="rId4"/>
    <sheet name="Kötelezettségek" sheetId="5" r:id="rId5"/>
  </sheets>
  <definedNames>
    <definedName name="Print_Area_1">Hulladék!$A$1:$F$104</definedName>
  </definedNames>
  <calcPr calcId="145621" iterateDelta="1E-4"/>
</workbook>
</file>

<file path=xl/calcChain.xml><?xml version="1.0" encoding="utf-8"?>
<calcChain xmlns="http://schemas.openxmlformats.org/spreadsheetml/2006/main">
  <c r="J21" i="5" l="1"/>
  <c r="K21" i="5" s="1"/>
  <c r="E21" i="5"/>
  <c r="K20" i="5"/>
  <c r="E20" i="5"/>
  <c r="K19" i="5"/>
  <c r="E19" i="5"/>
  <c r="K18" i="5"/>
  <c r="E18" i="5"/>
  <c r="K17" i="5"/>
  <c r="E17" i="5"/>
  <c r="K16" i="5"/>
  <c r="E16" i="5"/>
  <c r="K15" i="5"/>
  <c r="E15" i="5"/>
  <c r="D15" i="5"/>
  <c r="K14" i="5"/>
  <c r="G14" i="5"/>
  <c r="E14" i="5"/>
  <c r="D14" i="5"/>
  <c r="D22" i="5" s="1"/>
  <c r="C14" i="5"/>
  <c r="C22" i="5" s="1"/>
  <c r="E22" i="5" s="1"/>
  <c r="K13" i="5"/>
  <c r="G13" i="5"/>
  <c r="E13" i="5"/>
  <c r="I12" i="5"/>
  <c r="H12" i="5"/>
  <c r="G12" i="5"/>
  <c r="J12" i="5" s="1"/>
  <c r="E12" i="5"/>
  <c r="I11" i="5"/>
  <c r="H11" i="5"/>
  <c r="G11" i="5"/>
  <c r="J11" i="5" s="1"/>
  <c r="K11" i="5" s="1"/>
  <c r="E11" i="5"/>
  <c r="I10" i="5"/>
  <c r="I23" i="5" s="1"/>
  <c r="H10" i="5"/>
  <c r="G10" i="5"/>
  <c r="J10" i="5" s="1"/>
  <c r="E10" i="5"/>
  <c r="K9" i="5"/>
  <c r="E9" i="5"/>
  <c r="G8" i="5"/>
  <c r="J8" i="5" s="1"/>
  <c r="K8" i="5" s="1"/>
  <c r="E8" i="5"/>
  <c r="B8" i="5"/>
  <c r="B22" i="5" s="1"/>
  <c r="E23" i="5" s="1"/>
  <c r="J7" i="5"/>
  <c r="K7" i="5" s="1"/>
  <c r="G7" i="5"/>
  <c r="E7" i="5"/>
  <c r="K6" i="5"/>
  <c r="G6" i="5"/>
  <c r="E6" i="5"/>
  <c r="H5" i="5"/>
  <c r="G5" i="5"/>
  <c r="J5" i="5" s="1"/>
  <c r="E5" i="5"/>
  <c r="J4" i="5"/>
  <c r="G4" i="5"/>
  <c r="G22" i="5" s="1"/>
  <c r="E4" i="5"/>
  <c r="I18" i="4"/>
  <c r="H18" i="4"/>
  <c r="F18" i="4"/>
  <c r="D18" i="4"/>
  <c r="C18" i="4"/>
  <c r="B18" i="4"/>
  <c r="G17" i="4"/>
  <c r="G18" i="4" s="1"/>
  <c r="I19" i="4" s="1"/>
  <c r="I20" i="4" s="1"/>
  <c r="B17" i="3"/>
  <c r="B21" i="3" s="1"/>
  <c r="B12" i="3"/>
  <c r="B1" i="3"/>
  <c r="G22" i="2"/>
  <c r="F22" i="2"/>
  <c r="B22" i="2"/>
  <c r="G18" i="2"/>
  <c r="G9" i="2"/>
  <c r="F9" i="2"/>
  <c r="C9" i="2"/>
  <c r="B9" i="2"/>
  <c r="E7" i="2"/>
  <c r="E9" i="2" s="1"/>
  <c r="B7" i="2"/>
  <c r="F5" i="2"/>
  <c r="C95" i="1"/>
  <c r="C89" i="1"/>
  <c r="C87" i="1"/>
  <c r="C82" i="1"/>
  <c r="C102" i="1" s="1"/>
  <c r="C80" i="1"/>
  <c r="A80" i="1"/>
  <c r="C79" i="1"/>
  <c r="A79" i="1"/>
  <c r="D73" i="1"/>
  <c r="B72" i="1"/>
  <c r="B54" i="1" s="1"/>
  <c r="D71" i="1"/>
  <c r="E71" i="1" s="1"/>
  <c r="D70" i="1"/>
  <c r="D72" i="1" s="1"/>
  <c r="C70" i="1"/>
  <c r="C72" i="1" s="1"/>
  <c r="E69" i="1"/>
  <c r="E68" i="1"/>
  <c r="B64" i="1"/>
  <c r="E63" i="1"/>
  <c r="E62" i="1"/>
  <c r="D62" i="1"/>
  <c r="D61" i="1"/>
  <c r="E61" i="1" s="1"/>
  <c r="C61" i="1"/>
  <c r="C64" i="1" s="1"/>
  <c r="E60" i="1"/>
  <c r="D60" i="1"/>
  <c r="E59" i="1"/>
  <c r="D59" i="1"/>
  <c r="E58" i="1"/>
  <c r="D58" i="1"/>
  <c r="E57" i="1"/>
  <c r="E64" i="1" s="1"/>
  <c r="D57" i="1"/>
  <c r="D51" i="1"/>
  <c r="C51" i="1"/>
  <c r="B51" i="1"/>
  <c r="E50" i="1"/>
  <c r="E51" i="1" s="1"/>
  <c r="C50" i="1"/>
  <c r="E49" i="1"/>
  <c r="E48" i="1"/>
  <c r="B47" i="1"/>
  <c r="E46" i="1"/>
  <c r="D46" i="1"/>
  <c r="E45" i="1"/>
  <c r="D45" i="1"/>
  <c r="C44" i="1"/>
  <c r="D44" i="1" s="1"/>
  <c r="E44" i="1" s="1"/>
  <c r="D43" i="1"/>
  <c r="E43" i="1" s="1"/>
  <c r="C43" i="1"/>
  <c r="E42" i="1"/>
  <c r="D41" i="1"/>
  <c r="E41" i="1" s="1"/>
  <c r="D40" i="1"/>
  <c r="E40" i="1" s="1"/>
  <c r="E39" i="1"/>
  <c r="C39" i="1"/>
  <c r="C47" i="1" s="1"/>
  <c r="D38" i="1"/>
  <c r="E38" i="1" s="1"/>
  <c r="C38" i="1"/>
  <c r="E37" i="1"/>
  <c r="D37" i="1"/>
  <c r="E36" i="1"/>
  <c r="D36" i="1"/>
  <c r="E35" i="1"/>
  <c r="D35" i="1"/>
  <c r="E34" i="1"/>
  <c r="D34" i="1"/>
  <c r="E33" i="1"/>
  <c r="D33" i="1"/>
  <c r="E32" i="1"/>
  <c r="E47" i="1" s="1"/>
  <c r="D32" i="1"/>
  <c r="C30" i="1"/>
  <c r="B30" i="1"/>
  <c r="E29" i="1"/>
  <c r="D29" i="1"/>
  <c r="C28" i="1"/>
  <c r="D28" i="1" s="1"/>
  <c r="E28" i="1" s="1"/>
  <c r="D27" i="1"/>
  <c r="E27" i="1" s="1"/>
  <c r="D26" i="1"/>
  <c r="D30" i="1" s="1"/>
  <c r="B24" i="1"/>
  <c r="D23" i="1"/>
  <c r="E23" i="1" s="1"/>
  <c r="D22" i="1"/>
  <c r="E22" i="1" s="1"/>
  <c r="D21" i="1"/>
  <c r="E21" i="1" s="1"/>
  <c r="D20" i="1"/>
  <c r="E20" i="1" s="1"/>
  <c r="C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2" i="1"/>
  <c r="E12" i="1" s="1"/>
  <c r="E11" i="1"/>
  <c r="E10" i="1"/>
  <c r="D10" i="1"/>
  <c r="E9" i="1"/>
  <c r="D9" i="1"/>
  <c r="C8" i="1"/>
  <c r="C24" i="1" s="1"/>
  <c r="D7" i="1"/>
  <c r="E7" i="1" s="1"/>
  <c r="E6" i="1"/>
  <c r="G23" i="5" l="1"/>
  <c r="K5" i="5"/>
  <c r="J23" i="5"/>
  <c r="C65" i="1"/>
  <c r="D47" i="1"/>
  <c r="D54" i="1" s="1"/>
  <c r="C54" i="1"/>
  <c r="K10" i="5"/>
  <c r="K12" i="5"/>
  <c r="D8" i="1"/>
  <c r="E8" i="1" s="1"/>
  <c r="E24" i="1" s="1"/>
  <c r="E26" i="1"/>
  <c r="E30" i="1" s="1"/>
  <c r="E70" i="1"/>
  <c r="E72" i="1" s="1"/>
  <c r="H23" i="5"/>
  <c r="K23" i="5" s="1"/>
  <c r="D24" i="1"/>
  <c r="D64" i="1"/>
  <c r="K4" i="5"/>
  <c r="E54" i="1" l="1"/>
  <c r="K22" i="5"/>
  <c r="D74" i="1"/>
  <c r="E74" i="1" l="1"/>
  <c r="B5" i="3"/>
  <c r="C74" i="1"/>
</calcChain>
</file>

<file path=xl/sharedStrings.xml><?xml version="1.0" encoding="utf-8"?>
<sst xmlns="http://schemas.openxmlformats.org/spreadsheetml/2006/main" count="195" uniqueCount="161">
  <si>
    <t>A Martfűi Városfejlesztési Nonprofit Kft. 2016. évi költségvetés HULLADÉKGAZDÁLKODÁS</t>
  </si>
  <si>
    <t>KÖLTSÉGHELYEK  kiadások</t>
  </si>
  <si>
    <t>Éves terv      (Ft)</t>
  </si>
  <si>
    <t>Teljesülés 2016.12.31 (Nettó)</t>
  </si>
  <si>
    <t>Teljesülés 2016.12.31. (Bruttó)</t>
  </si>
  <si>
    <t>Különbözet</t>
  </si>
  <si>
    <t>Különféle szolgáltatások</t>
  </si>
  <si>
    <t>Gázenergia</t>
  </si>
  <si>
    <t>Villamosenergia</t>
  </si>
  <si>
    <t>Víz- és csatorna</t>
  </si>
  <si>
    <t>könyvelés</t>
  </si>
  <si>
    <t>Könyvvizsgálat</t>
  </si>
  <si>
    <t>Számlavezetési díj</t>
  </si>
  <si>
    <t>kisértékű anyagi eszközök</t>
  </si>
  <si>
    <t>Postaköltség</t>
  </si>
  <si>
    <t>Hulladékszállítás</t>
  </si>
  <si>
    <t>Termálfűtés rásegítés</t>
  </si>
  <si>
    <t>Jogi tanácsadás/képviselet</t>
  </si>
  <si>
    <t>Telefonköltség</t>
  </si>
  <si>
    <t>Internet/ kábel tv.</t>
  </si>
  <si>
    <t>Tűzoltókészülékek karbantartása</t>
  </si>
  <si>
    <t>Tűz- és munkavédelem</t>
  </si>
  <si>
    <t>Gépek, berendezések karbantartása</t>
  </si>
  <si>
    <t>Távfelügyelet, riasztó</t>
  </si>
  <si>
    <t>Rovar és rágcsálóirtás</t>
  </si>
  <si>
    <t>Összesen:</t>
  </si>
  <si>
    <t>Személyhez kapcs. KTg. Tér és hjár.</t>
  </si>
  <si>
    <t>Étkezési utalvány+jár</t>
  </si>
  <si>
    <t>Foglalkoztatás E.Ü.</t>
  </si>
  <si>
    <t>Belföldi kiküldetés, munkába járás</t>
  </si>
  <si>
    <t>Védőital</t>
  </si>
  <si>
    <t>Intézm. Üzem. Fennt. Kiadások</t>
  </si>
  <si>
    <t>Csekk rendelés</t>
  </si>
  <si>
    <t>Anyagbeszerzés, épület karbantartás</t>
  </si>
  <si>
    <t>Tisztítószer</t>
  </si>
  <si>
    <t>Irodaszer, nyomtatvány</t>
  </si>
  <si>
    <t>Számítástechnika szolgáltatás</t>
  </si>
  <si>
    <t>Munkaruha</t>
  </si>
  <si>
    <r>
      <t xml:space="preserve">Telephely </t>
    </r>
    <r>
      <rPr>
        <b/>
        <sz val="12"/>
        <color rgb="FF000000"/>
        <rFont val="Times New Roman"/>
        <family val="1"/>
        <charset val="238"/>
      </rPr>
      <t>bérleti díjak</t>
    </r>
    <r>
      <rPr>
        <sz val="12"/>
        <color rgb="FF000000"/>
        <rFont val="Times New Roman"/>
        <family val="1"/>
        <charset val="238"/>
      </rPr>
      <t>, fenntart.</t>
    </r>
  </si>
  <si>
    <t>Felelősség és vagyonbiztosítás</t>
  </si>
  <si>
    <t>Közlöny, szaklapok, oktatás</t>
  </si>
  <si>
    <t>Marketing</t>
  </si>
  <si>
    <t>Felügyeleti díj, eng., hatósági díj</t>
  </si>
  <si>
    <t>Lerakási díj</t>
  </si>
  <si>
    <t>Gépjárművel kapcs. Költségek</t>
  </si>
  <si>
    <t>Edények mosatása</t>
  </si>
  <si>
    <t>Egyéb üzemeltetési költségek (szemetes zs)</t>
  </si>
  <si>
    <t>Reprezentáció</t>
  </si>
  <si>
    <t>Összesen</t>
  </si>
  <si>
    <t>Bér+járulék</t>
  </si>
  <si>
    <t>2015.évről áthúzódó levonható ÁFA</t>
  </si>
  <si>
    <t>Amortizáció</t>
  </si>
  <si>
    <t>Költségek Mindösszesen:</t>
  </si>
  <si>
    <t>Bevétel összesen:</t>
  </si>
  <si>
    <t>kiszámlázott hulladékbegyűjtési díj</t>
  </si>
  <si>
    <t>szelektív hulladék értékesítés + TESZED (fordított Áfás)</t>
  </si>
  <si>
    <t>Továbbszámlázott telefon</t>
  </si>
  <si>
    <t>Visszahatárolt egyéb bevétel</t>
  </si>
  <si>
    <t>Támogatás (munkaerő után), káreseményekkel kapcsolatos</t>
  </si>
  <si>
    <t>Kamatbevétel</t>
  </si>
  <si>
    <t>2015-ről áthúzódó fizetendő ÁFA</t>
  </si>
  <si>
    <t>Bevételek Mindösszesen:</t>
  </si>
  <si>
    <t>Tevékenység Sztv. szerinti eredménye</t>
  </si>
  <si>
    <t>Beruházás</t>
  </si>
  <si>
    <t>Házhoz menő szelektívhulladék-gyűjtés</t>
  </si>
  <si>
    <t>Nagynyomású mosó</t>
  </si>
  <si>
    <t>Targonca, bálázógép,</t>
  </si>
  <si>
    <t>Kétcsészés rakodókanál</t>
  </si>
  <si>
    <t>ÁFA különbözet</t>
  </si>
  <si>
    <t>Bevételek-Ráfordítások-Beruházások</t>
  </si>
  <si>
    <t>Bevételek tagolás Sztv.szerinti egyszerűsített éves beszámolóban (nettó, teljesítés szemlélet)</t>
  </si>
  <si>
    <t>Árbevételek</t>
  </si>
  <si>
    <t>Árbevételek összesen</t>
  </si>
  <si>
    <t>Egyéb bevételek</t>
  </si>
  <si>
    <t>Támogatás (foglalkoztatáshoz kapcs.)</t>
  </si>
  <si>
    <t>Káreseményekkel kapcs. Bevételek</t>
  </si>
  <si>
    <t>Egyéb bevételek összesen</t>
  </si>
  <si>
    <t>Kamatbevétek</t>
  </si>
  <si>
    <t>Kiadások tagolása a Sztv.szerinti egyszerűsített éves beszámolóban</t>
  </si>
  <si>
    <t>Anyagjellegű ráfordítások</t>
  </si>
  <si>
    <t>Személyi jellegű ráfordítások</t>
  </si>
  <si>
    <t>Egyéb ráfordítások</t>
  </si>
  <si>
    <t>Kiadások összesen</t>
  </si>
  <si>
    <t>Pénzforgalmat nem jelentő tételek a beszámolóban</t>
  </si>
  <si>
    <t>Egyéb bevételben (időbeli elhatárolás feloldás)</t>
  </si>
  <si>
    <t>Értékcsökkenési leírása</t>
  </si>
  <si>
    <t>Eredmény</t>
  </si>
  <si>
    <t>Vevőkövetelések</t>
  </si>
  <si>
    <t>Készletváltozás</t>
  </si>
  <si>
    <t>Egyéb követelések</t>
  </si>
  <si>
    <t>Aktív időbeli elhatárolások</t>
  </si>
  <si>
    <t>Nyitó</t>
  </si>
  <si>
    <t>Kimenő számlák</t>
  </si>
  <si>
    <t>növekedés</t>
  </si>
  <si>
    <t>Pénzügyi teljesítések</t>
  </si>
  <si>
    <t>Csökkenés</t>
  </si>
  <si>
    <t>Záró vevő állomány</t>
  </si>
  <si>
    <t>Záró készlet</t>
  </si>
  <si>
    <t>Vevő állományváltozás</t>
  </si>
  <si>
    <t>Állományváltozás</t>
  </si>
  <si>
    <t>Szállítók</t>
  </si>
  <si>
    <t>Röv.lej.köt.</t>
  </si>
  <si>
    <t>Paszív időbeli elhatárolások</t>
  </si>
  <si>
    <t>Beérkező számlák</t>
  </si>
  <si>
    <t>Záró szállítók</t>
  </si>
  <si>
    <t>Szállító záróállomány</t>
  </si>
  <si>
    <t>Nyitó pénzeszköz</t>
  </si>
  <si>
    <t>Bank</t>
  </si>
  <si>
    <t>Pénztár</t>
  </si>
  <si>
    <t>Bevételek-ráfordítások-Beruházások</t>
  </si>
  <si>
    <t>Szállító állomány csökkenése miatt</t>
  </si>
  <si>
    <t>Egyéb kötelezettség kifizetése miatt 2015.évi adók járulékok  kifizetése miatt</t>
  </si>
  <si>
    <t>Passzív időbeli elhatárolások</t>
  </si>
  <si>
    <t>Vevőállomány változása miatt (csökkenés)</t>
  </si>
  <si>
    <t>Készletváltozás miatt</t>
  </si>
  <si>
    <t>Egyéb követelések változása miatt</t>
  </si>
  <si>
    <t>Átvezetés bankszámlák között</t>
  </si>
  <si>
    <t>ÁFA miatt</t>
  </si>
  <si>
    <t>Záró pénzeszköz</t>
  </si>
  <si>
    <t>Pénzeszközök változása</t>
  </si>
  <si>
    <t>Követelések</t>
  </si>
  <si>
    <t>Záró</t>
  </si>
  <si>
    <t>HG</t>
  </si>
  <si>
    <t>IG</t>
  </si>
  <si>
    <t>TESZ</t>
  </si>
  <si>
    <t>Útdíj</t>
  </si>
  <si>
    <t>Egyéb előlegek (bírósági eljárások)</t>
  </si>
  <si>
    <t>Kertész-Kovácsné (21.500,- Ft)</t>
  </si>
  <si>
    <t>Tríz Györgyné (21.000,- Ft)</t>
  </si>
  <si>
    <t>Csernus Jánosné (21.000,- Ft)</t>
  </si>
  <si>
    <t>Munkavállalók előlegei</t>
  </si>
  <si>
    <t>(Nagy Mihály 2016.09.hóban folyósítva 20.000,- Ft , letiltás miatt nincs levonva)</t>
  </si>
  <si>
    <t>(Vida Lajosné 2016.10.havi folyósításból 9.000,- Ft)</t>
  </si>
  <si>
    <t>(Lévai Mihály 4,- Ft kerekítés)</t>
  </si>
  <si>
    <t>Elszámolás munkavállalóval</t>
  </si>
  <si>
    <t>Ingatlan ágazat 2017-ben levonható ÁFA-ja</t>
  </si>
  <si>
    <t>Hulladék ágazat 2017-ben levonható ÁFA-ja</t>
  </si>
  <si>
    <t>ÁFA egyenleg</t>
  </si>
  <si>
    <t>Óvadék</t>
  </si>
  <si>
    <t>Összes követelés</t>
  </si>
  <si>
    <t>kötelezettségek</t>
  </si>
  <si>
    <t>Leltár</t>
  </si>
  <si>
    <t>Ingatlan</t>
  </si>
  <si>
    <t>Term.SZJA</t>
  </si>
  <si>
    <t>SZJA</t>
  </si>
  <si>
    <t>SZOCHO</t>
  </si>
  <si>
    <t>EHO</t>
  </si>
  <si>
    <t>EBA</t>
  </si>
  <si>
    <t>Kp.</t>
  </si>
  <si>
    <t>NYBA</t>
  </si>
  <si>
    <t>Munkabér</t>
  </si>
  <si>
    <t>Szakképzés</t>
  </si>
  <si>
    <t>Jövedelem</t>
  </si>
  <si>
    <t>Egyéb jövedelem</t>
  </si>
  <si>
    <t>2017-ben levonható</t>
  </si>
  <si>
    <t>Invitel</t>
  </si>
  <si>
    <t>Erzsébet utalvány</t>
  </si>
  <si>
    <t>Munkaügyi kp.</t>
  </si>
  <si>
    <t>Egyéb rövid lej.köt. (ÁFA 2016)</t>
  </si>
  <si>
    <t>MOLFU</t>
  </si>
  <si>
    <t>Letiltás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</si>
</sst>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&quot; Ft&quot;"/>
    <numFmt numFmtId="165" formatCode="#,##0\ [$Ft-40E];[Red]\-#,##0\ [$Ft-40E]"/>
    <numFmt numFmtId="166" formatCode="#,##0.00&quot; Ft&quot;"/>
    <numFmt numFmtId="167" formatCode="#,##0;[Red]\-#,##0"/>
    <numFmt numFmtId="168" formatCode="\ #,##0.00&quot;     &quot;;\-#,##0.00&quot;     &quot;;&quot; -&quot;#&quot;     &quot;;@\ "/>
  </numFmts>
  <fonts count="11">
    <font>
      <sz val="10"/>
      <name val="Arial"/>
      <family val="2"/>
      <charset val="238"/>
    </font>
    <font>
      <sz val="11"/>
      <color rgb="FF000000"/>
      <name val="Mangal"/>
      <family val="2"/>
      <charset val="238"/>
    </font>
    <font>
      <sz val="11"/>
      <color rgb="FF000000"/>
      <name val="Calibri"/>
      <family val="2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4"/>
      <name val="Times New Roman"/>
      <family val="1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8EB4E3"/>
        <bgColor rgb="FF9999FF"/>
      </patternFill>
    </fill>
    <fill>
      <patternFill patternType="solid">
        <fgColor rgb="FFBDDD8D"/>
        <bgColor rgb="FFCCFFCC"/>
      </patternFill>
    </fill>
    <fill>
      <patternFill patternType="solid">
        <fgColor rgb="FFE6E6FF"/>
        <bgColor rgb="FFFFFFFF"/>
      </patternFill>
    </fill>
    <fill>
      <patternFill patternType="solid">
        <fgColor rgb="FFFFFF99"/>
        <bgColor rgb="FFFFFFCC"/>
      </patternFill>
    </fill>
    <fill>
      <patternFill patternType="solid">
        <fgColor rgb="FFFFCC99"/>
        <bgColor rgb="FFBDDD8D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</borders>
  <cellStyleXfs count="3">
    <xf numFmtId="0" fontId="0" fillId="0" borderId="0"/>
    <xf numFmtId="168" fontId="10" fillId="0" borderId="0"/>
    <xf numFmtId="0" fontId="1" fillId="0" borderId="0"/>
  </cellStyleXfs>
  <cellXfs count="152">
    <xf numFmtId="0" fontId="0" fillId="0" borderId="0" xfId="0"/>
    <xf numFmtId="0" fontId="2" fillId="0" borderId="0" xfId="2" applyFont="1"/>
    <xf numFmtId="0" fontId="2" fillId="0" borderId="1" xfId="2" applyFont="1" applyBorder="1"/>
    <xf numFmtId="164" fontId="3" fillId="0" borderId="0" xfId="2" applyNumberFormat="1" applyFont="1"/>
    <xf numFmtId="0" fontId="4" fillId="0" borderId="3" xfId="2" applyFont="1" applyBorder="1" applyAlignment="1">
      <alignment horizontal="center" wrapText="1"/>
    </xf>
    <xf numFmtId="0" fontId="4" fillId="0" borderId="2" xfId="2" applyFont="1" applyBorder="1" applyAlignment="1">
      <alignment horizontal="center" wrapText="1"/>
    </xf>
    <xf numFmtId="0" fontId="4" fillId="0" borderId="0" xfId="2" applyFont="1" applyBorder="1" applyAlignment="1">
      <alignment horizontal="center" wrapText="1"/>
    </xf>
    <xf numFmtId="0" fontId="3" fillId="0" borderId="5" xfId="2" applyFont="1" applyBorder="1" applyAlignment="1">
      <alignment horizontal="center" vertical="center" wrapText="1"/>
    </xf>
    <xf numFmtId="164" fontId="3" fillId="0" borderId="6" xfId="2" applyNumberFormat="1" applyFont="1" applyBorder="1" applyAlignment="1">
      <alignment horizontal="center" vertical="center" wrapText="1"/>
    </xf>
    <xf numFmtId="0" fontId="4" fillId="0" borderId="3" xfId="2" applyFont="1" applyBorder="1" applyAlignment="1">
      <alignment horizontal="left" vertical="center"/>
    </xf>
    <xf numFmtId="164" fontId="3" fillId="0" borderId="7" xfId="2" applyNumberFormat="1" applyFont="1" applyBorder="1"/>
    <xf numFmtId="164" fontId="3" fillId="0" borderId="8" xfId="2" applyNumberFormat="1" applyFont="1" applyBorder="1"/>
    <xf numFmtId="164" fontId="3" fillId="0" borderId="9" xfId="2" applyNumberFormat="1" applyFont="1" applyBorder="1"/>
    <xf numFmtId="164" fontId="3" fillId="0" borderId="10" xfId="2" applyNumberFormat="1" applyFont="1" applyBorder="1"/>
    <xf numFmtId="164" fontId="3" fillId="0" borderId="11" xfId="2" applyNumberFormat="1" applyFont="1" applyBorder="1"/>
    <xf numFmtId="164" fontId="3" fillId="0" borderId="12" xfId="2" applyNumberFormat="1" applyFont="1" applyBorder="1"/>
    <xf numFmtId="164" fontId="3" fillId="0" borderId="1" xfId="2" applyNumberFormat="1" applyFont="1" applyBorder="1"/>
    <xf numFmtId="164" fontId="3" fillId="0" borderId="13" xfId="2" applyNumberFormat="1" applyFont="1" applyBorder="1"/>
    <xf numFmtId="164" fontId="2" fillId="0" borderId="0" xfId="2" applyNumberFormat="1" applyFont="1"/>
    <xf numFmtId="164" fontId="3" fillId="2" borderId="11" xfId="2" applyNumberFormat="1" applyFont="1" applyFill="1" applyBorder="1"/>
    <xf numFmtId="164" fontId="3" fillId="2" borderId="12" xfId="2" applyNumberFormat="1" applyFont="1" applyFill="1" applyBorder="1"/>
    <xf numFmtId="164" fontId="3" fillId="0" borderId="14" xfId="2" applyNumberFormat="1" applyFont="1" applyBorder="1"/>
    <xf numFmtId="164" fontId="3" fillId="0" borderId="15" xfId="2" applyNumberFormat="1" applyFont="1" applyBorder="1"/>
    <xf numFmtId="164" fontId="3" fillId="0" borderId="16" xfId="2" applyNumberFormat="1" applyFont="1" applyBorder="1"/>
    <xf numFmtId="164" fontId="4" fillId="3" borderId="17" xfId="2" applyNumberFormat="1" applyFont="1" applyFill="1" applyBorder="1"/>
    <xf numFmtId="164" fontId="4" fillId="3" borderId="18" xfId="2" applyNumberFormat="1" applyFont="1" applyFill="1" applyBorder="1"/>
    <xf numFmtId="164" fontId="4" fillId="3" borderId="19" xfId="2" applyNumberFormat="1" applyFont="1" applyFill="1" applyBorder="1"/>
    <xf numFmtId="164" fontId="4" fillId="3" borderId="20" xfId="2" applyNumberFormat="1" applyFont="1" applyFill="1" applyBorder="1"/>
    <xf numFmtId="164" fontId="4" fillId="0" borderId="3" xfId="2" applyNumberFormat="1" applyFont="1" applyBorder="1" applyAlignment="1">
      <alignment horizontal="left" vertical="center"/>
    </xf>
    <xf numFmtId="164" fontId="3" fillId="0" borderId="7" xfId="2" applyNumberFormat="1" applyFont="1" applyBorder="1" applyAlignment="1">
      <alignment horizontal="left" vertical="center"/>
    </xf>
    <xf numFmtId="164" fontId="3" fillId="0" borderId="9" xfId="2" applyNumberFormat="1" applyFont="1" applyBorder="1" applyAlignment="1">
      <alignment horizontal="right" vertical="center"/>
    </xf>
    <xf numFmtId="164" fontId="4" fillId="3" borderId="3" xfId="2" applyNumberFormat="1" applyFont="1" applyFill="1" applyBorder="1"/>
    <xf numFmtId="164" fontId="3" fillId="2" borderId="7" xfId="2" applyNumberFormat="1" applyFont="1" applyFill="1" applyBorder="1"/>
    <xf numFmtId="164" fontId="3" fillId="2" borderId="8" xfId="2" applyNumberFormat="1" applyFont="1" applyFill="1" applyBorder="1"/>
    <xf numFmtId="164" fontId="4" fillId="3" borderId="21" xfId="2" applyNumberFormat="1" applyFont="1" applyFill="1" applyBorder="1"/>
    <xf numFmtId="164" fontId="3" fillId="0" borderId="4" xfId="2" applyNumberFormat="1" applyFont="1" applyBorder="1"/>
    <xf numFmtId="164" fontId="3" fillId="0" borderId="22" xfId="2" applyNumberFormat="1" applyFont="1" applyBorder="1"/>
    <xf numFmtId="164" fontId="3" fillId="0" borderId="5" xfId="2" applyNumberFormat="1" applyFont="1" applyBorder="1"/>
    <xf numFmtId="164" fontId="3" fillId="0" borderId="23" xfId="2" applyNumberFormat="1" applyFont="1" applyBorder="1"/>
    <xf numFmtId="164" fontId="4" fillId="3" borderId="24" xfId="2" applyNumberFormat="1" applyFont="1" applyFill="1" applyBorder="1"/>
    <xf numFmtId="164" fontId="4" fillId="0" borderId="0" xfId="2" applyNumberFormat="1" applyFont="1" applyBorder="1"/>
    <xf numFmtId="164" fontId="3" fillId="0" borderId="0" xfId="2" applyNumberFormat="1" applyFont="1" applyBorder="1"/>
    <xf numFmtId="0" fontId="5" fillId="0" borderId="0" xfId="2" applyFont="1"/>
    <xf numFmtId="165" fontId="5" fillId="0" borderId="0" xfId="2" applyNumberFormat="1" applyFont="1"/>
    <xf numFmtId="164" fontId="4" fillId="4" borderId="17" xfId="2" applyNumberFormat="1" applyFont="1" applyFill="1" applyBorder="1" applyAlignment="1">
      <alignment horizontal="center"/>
    </xf>
    <xf numFmtId="164" fontId="4" fillId="4" borderId="19" xfId="2" applyNumberFormat="1" applyFont="1" applyFill="1" applyBorder="1"/>
    <xf numFmtId="164" fontId="4" fillId="4" borderId="21" xfId="2" applyNumberFormat="1" applyFont="1" applyFill="1" applyBorder="1"/>
    <xf numFmtId="0" fontId="4" fillId="0" borderId="0" xfId="2" applyFont="1" applyBorder="1" applyAlignment="1">
      <alignment horizontal="center"/>
    </xf>
    <xf numFmtId="0" fontId="4" fillId="0" borderId="0" xfId="2" applyFont="1" applyBorder="1"/>
    <xf numFmtId="0" fontId="4" fillId="0" borderId="25" xfId="2" applyFont="1" applyBorder="1"/>
    <xf numFmtId="164" fontId="3" fillId="0" borderId="26" xfId="2" applyNumberFormat="1" applyFont="1" applyBorder="1" applyAlignment="1">
      <alignment horizontal="right" wrapText="1"/>
    </xf>
    <xf numFmtId="164" fontId="3" fillId="0" borderId="27" xfId="2" applyNumberFormat="1" applyFont="1" applyBorder="1"/>
    <xf numFmtId="164" fontId="3" fillId="0" borderId="28" xfId="2" applyNumberFormat="1" applyFont="1" applyBorder="1"/>
    <xf numFmtId="0" fontId="6" fillId="2" borderId="0" xfId="2" applyFont="1" applyFill="1"/>
    <xf numFmtId="0" fontId="3" fillId="0" borderId="11" xfId="2" applyFont="1" applyBorder="1"/>
    <xf numFmtId="164" fontId="3" fillId="0" borderId="12" xfId="2" applyNumberFormat="1" applyFont="1" applyBorder="1" applyAlignment="1">
      <alignment horizontal="right"/>
    </xf>
    <xf numFmtId="0" fontId="3" fillId="0" borderId="11" xfId="2" applyFont="1" applyBorder="1" applyAlignment="1">
      <alignment wrapText="1"/>
    </xf>
    <xf numFmtId="0" fontId="3" fillId="0" borderId="14" xfId="2" applyFont="1" applyBorder="1"/>
    <xf numFmtId="164" fontId="3" fillId="0" borderId="15" xfId="2" applyNumberFormat="1" applyFont="1" applyBorder="1" applyAlignment="1">
      <alignment horizontal="right"/>
    </xf>
    <xf numFmtId="0" fontId="4" fillId="4" borderId="17" xfId="2" applyFont="1" applyFill="1" applyBorder="1"/>
    <xf numFmtId="164" fontId="4" fillId="4" borderId="3" xfId="2" applyNumberFormat="1" applyFont="1" applyFill="1" applyBorder="1"/>
    <xf numFmtId="164" fontId="4" fillId="4" borderId="17" xfId="2" applyNumberFormat="1" applyFont="1" applyFill="1" applyBorder="1"/>
    <xf numFmtId="164" fontId="4" fillId="4" borderId="20" xfId="2" applyNumberFormat="1" applyFont="1" applyFill="1" applyBorder="1"/>
    <xf numFmtId="0" fontId="3" fillId="5" borderId="29" xfId="2" applyFont="1" applyFill="1" applyBorder="1"/>
    <xf numFmtId="164" fontId="3" fillId="5" borderId="29" xfId="2" applyNumberFormat="1" applyFont="1" applyFill="1" applyBorder="1"/>
    <xf numFmtId="0" fontId="4" fillId="2" borderId="0" xfId="2" applyFont="1" applyFill="1" applyBorder="1"/>
    <xf numFmtId="164" fontId="4" fillId="2" borderId="0" xfId="2" applyNumberFormat="1" applyFont="1" applyFill="1" applyBorder="1"/>
    <xf numFmtId="0" fontId="2" fillId="0" borderId="0" xfId="2" applyFont="1" applyBorder="1"/>
    <xf numFmtId="164" fontId="3" fillId="2" borderId="14" xfId="2" applyNumberFormat="1" applyFont="1" applyFill="1" applyBorder="1"/>
    <xf numFmtId="164" fontId="3" fillId="2" borderId="15" xfId="2" applyNumberFormat="1" applyFont="1" applyFill="1" applyBorder="1"/>
    <xf numFmtId="0" fontId="4" fillId="2" borderId="1" xfId="2" applyFont="1" applyFill="1" applyBorder="1"/>
    <xf numFmtId="0" fontId="3" fillId="2" borderId="1" xfId="2" applyFont="1" applyFill="1" applyBorder="1"/>
    <xf numFmtId="1" fontId="3" fillId="2" borderId="1" xfId="2" applyNumberFormat="1" applyFont="1" applyFill="1" applyBorder="1"/>
    <xf numFmtId="0" fontId="4" fillId="0" borderId="1" xfId="2" applyFont="1" applyBorder="1"/>
    <xf numFmtId="1" fontId="3" fillId="0" borderId="1" xfId="2" applyNumberFormat="1" applyFont="1" applyBorder="1"/>
    <xf numFmtId="0" fontId="4" fillId="0" borderId="29" xfId="2" applyFont="1" applyBorder="1"/>
    <xf numFmtId="0" fontId="3" fillId="0" borderId="29" xfId="2" applyFont="1" applyBorder="1"/>
    <xf numFmtId="164" fontId="3" fillId="0" borderId="29" xfId="2" applyNumberFormat="1" applyFont="1" applyBorder="1"/>
    <xf numFmtId="0" fontId="4" fillId="2" borderId="29" xfId="2" applyFont="1" applyFill="1" applyBorder="1" applyAlignment="1">
      <alignment wrapText="1"/>
    </xf>
    <xf numFmtId="0" fontId="4" fillId="2" borderId="29" xfId="2" applyFont="1" applyFill="1" applyBorder="1"/>
    <xf numFmtId="164" fontId="4" fillId="2" borderId="29" xfId="2" applyNumberFormat="1" applyFont="1" applyFill="1" applyBorder="1"/>
    <xf numFmtId="165" fontId="4" fillId="2" borderId="29" xfId="2" applyNumberFormat="1" applyFont="1" applyFill="1" applyBorder="1" applyAlignment="1">
      <alignment horizontal="right"/>
    </xf>
    <xf numFmtId="0" fontId="3" fillId="2" borderId="29" xfId="2" applyFont="1" applyFill="1" applyBorder="1"/>
    <xf numFmtId="164" fontId="4" fillId="2" borderId="29" xfId="2" applyNumberFormat="1" applyFont="1" applyFill="1" applyBorder="1" applyAlignment="1">
      <alignment horizontal="right" vertical="center"/>
    </xf>
    <xf numFmtId="165" fontId="3" fillId="2" borderId="29" xfId="2" applyNumberFormat="1" applyFont="1" applyFill="1" applyBorder="1" applyAlignment="1">
      <alignment vertical="center"/>
    </xf>
    <xf numFmtId="164" fontId="3" fillId="2" borderId="29" xfId="2" applyNumberFormat="1" applyFont="1" applyFill="1" applyBorder="1" applyAlignment="1">
      <alignment horizontal="right"/>
    </xf>
    <xf numFmtId="165" fontId="3" fillId="2" borderId="29" xfId="2" applyNumberFormat="1" applyFont="1" applyFill="1" applyBorder="1" applyAlignment="1">
      <alignment horizontal="right"/>
    </xf>
    <xf numFmtId="164" fontId="4" fillId="2" borderId="29" xfId="2" applyNumberFormat="1" applyFont="1" applyFill="1" applyBorder="1" applyAlignment="1">
      <alignment horizontal="center"/>
    </xf>
    <xf numFmtId="166" fontId="3" fillId="2" borderId="29" xfId="2" applyNumberFormat="1" applyFont="1" applyFill="1" applyBorder="1" applyAlignment="1">
      <alignment horizontal="right"/>
    </xf>
    <xf numFmtId="166" fontId="4" fillId="2" borderId="29" xfId="2" applyNumberFormat="1" applyFont="1" applyFill="1" applyBorder="1" applyAlignment="1">
      <alignment horizontal="right"/>
    </xf>
    <xf numFmtId="166" fontId="4" fillId="2" borderId="29" xfId="2" applyNumberFormat="1" applyFont="1" applyFill="1" applyBorder="1" applyAlignment="1">
      <alignment horizontal="center"/>
    </xf>
    <xf numFmtId="164" fontId="3" fillId="2" borderId="29" xfId="2" applyNumberFormat="1" applyFont="1" applyFill="1" applyBorder="1" applyAlignment="1">
      <alignment horizontal="center"/>
    </xf>
    <xf numFmtId="167" fontId="4" fillId="2" borderId="29" xfId="2" applyNumberFormat="1" applyFont="1" applyFill="1" applyBorder="1" applyAlignment="1">
      <alignment wrapText="1"/>
    </xf>
    <xf numFmtId="0" fontId="3" fillId="2" borderId="29" xfId="2" applyFont="1" applyFill="1" applyBorder="1" applyAlignment="1">
      <alignment horizontal="center"/>
    </xf>
    <xf numFmtId="167" fontId="3" fillId="2" borderId="29" xfId="2" applyNumberFormat="1" applyFont="1" applyFill="1" applyBorder="1" applyAlignment="1">
      <alignment wrapText="1"/>
    </xf>
    <xf numFmtId="165" fontId="3" fillId="2" borderId="29" xfId="2" applyNumberFormat="1" applyFont="1" applyFill="1" applyBorder="1" applyAlignment="1">
      <alignment horizontal="right" wrapText="1"/>
    </xf>
    <xf numFmtId="0" fontId="3" fillId="2" borderId="29" xfId="2" applyFont="1" applyFill="1" applyBorder="1" applyAlignment="1">
      <alignment wrapText="1"/>
    </xf>
    <xf numFmtId="165" fontId="4" fillId="2" borderId="29" xfId="2" applyNumberFormat="1" applyFont="1" applyFill="1" applyBorder="1" applyAlignment="1">
      <alignment horizontal="right" wrapText="1"/>
    </xf>
    <xf numFmtId="165" fontId="3" fillId="2" borderId="29" xfId="2" applyNumberFormat="1" applyFont="1" applyFill="1" applyBorder="1" applyAlignment="1"/>
    <xf numFmtId="0" fontId="4" fillId="2" borderId="29" xfId="2" applyFont="1" applyFill="1" applyBorder="1" applyAlignment="1">
      <alignment horizontal="center"/>
    </xf>
    <xf numFmtId="165" fontId="4" fillId="2" borderId="29" xfId="2" applyNumberFormat="1" applyFont="1" applyFill="1" applyBorder="1" applyAlignment="1"/>
    <xf numFmtId="165" fontId="3" fillId="2" borderId="29" xfId="2" applyNumberFormat="1" applyFont="1" applyFill="1" applyBorder="1" applyAlignment="1">
      <alignment horizontal="center"/>
    </xf>
    <xf numFmtId="0" fontId="7" fillId="2" borderId="29" xfId="2" applyFont="1" applyFill="1" applyBorder="1" applyAlignment="1">
      <alignment horizontal="center"/>
    </xf>
    <xf numFmtId="165" fontId="7" fillId="2" borderId="29" xfId="2" applyNumberFormat="1" applyFont="1" applyFill="1" applyBorder="1" applyAlignment="1">
      <alignment horizontal="center"/>
    </xf>
    <xf numFmtId="165" fontId="0" fillId="0" borderId="0" xfId="0" applyNumberFormat="1"/>
    <xf numFmtId="0" fontId="8" fillId="0" borderId="0" xfId="0" applyFont="1"/>
    <xf numFmtId="0" fontId="2" fillId="0" borderId="29" xfId="2" applyFont="1" applyBorder="1"/>
    <xf numFmtId="165" fontId="2" fillId="0" borderId="1" xfId="2" applyNumberFormat="1" applyFont="1" applyBorder="1"/>
    <xf numFmtId="0" fontId="0" fillId="6" borderId="29" xfId="0" applyFont="1" applyFill="1" applyBorder="1"/>
    <xf numFmtId="0" fontId="0" fillId="7" borderId="29" xfId="0" applyFont="1" applyFill="1" applyBorder="1"/>
    <xf numFmtId="164" fontId="0" fillId="6" borderId="29" xfId="1" applyNumberFormat="1" applyFont="1" applyFill="1" applyBorder="1" applyAlignment="1" applyProtection="1"/>
    <xf numFmtId="164" fontId="0" fillId="0" borderId="0" xfId="1" applyNumberFormat="1" applyFont="1" applyBorder="1" applyAlignment="1" applyProtection="1"/>
    <xf numFmtId="0" fontId="9" fillId="7" borderId="0" xfId="0" applyFont="1" applyFill="1" applyBorder="1"/>
    <xf numFmtId="0" fontId="9" fillId="7" borderId="0" xfId="0" applyFont="1" applyFill="1" applyAlignment="1">
      <alignment wrapText="1"/>
    </xf>
    <xf numFmtId="0" fontId="9" fillId="7" borderId="0" xfId="0" applyFont="1" applyFill="1"/>
    <xf numFmtId="0" fontId="9" fillId="0" borderId="0" xfId="0" applyFont="1"/>
    <xf numFmtId="0" fontId="0" fillId="7" borderId="29" xfId="0" applyFill="1" applyBorder="1"/>
    <xf numFmtId="0" fontId="8" fillId="6" borderId="29" xfId="0" applyFont="1" applyFill="1" applyBorder="1"/>
    <xf numFmtId="0" fontId="8" fillId="7" borderId="29" xfId="0" applyFont="1" applyFill="1" applyBorder="1"/>
    <xf numFmtId="0" fontId="0" fillId="0" borderId="0" xfId="0"/>
    <xf numFmtId="0" fontId="0" fillId="0" borderId="29" xfId="0" applyFont="1" applyBorder="1" applyAlignment="1">
      <alignment horizontal="center" vertical="center"/>
    </xf>
    <xf numFmtId="0" fontId="0" fillId="0" borderId="29" xfId="0" applyFont="1" applyBorder="1"/>
    <xf numFmtId="164" fontId="8" fillId="0" borderId="29" xfId="1" applyNumberFormat="1" applyFont="1" applyBorder="1" applyAlignment="1" applyProtection="1">
      <alignment horizontal="right"/>
    </xf>
    <xf numFmtId="164" fontId="8" fillId="0" borderId="29" xfId="1" applyNumberFormat="1" applyFont="1" applyBorder="1" applyAlignment="1" applyProtection="1">
      <alignment horizontal="center"/>
    </xf>
    <xf numFmtId="164" fontId="8" fillId="8" borderId="29" xfId="1" applyNumberFormat="1" applyFont="1" applyFill="1" applyBorder="1" applyAlignment="1" applyProtection="1">
      <alignment horizontal="center"/>
    </xf>
    <xf numFmtId="164" fontId="0" fillId="7" borderId="29" xfId="1" applyNumberFormat="1" applyFont="1" applyFill="1" applyBorder="1" applyAlignment="1" applyProtection="1">
      <alignment horizontal="center"/>
    </xf>
    <xf numFmtId="164" fontId="0" fillId="8" borderId="29" xfId="1" applyNumberFormat="1" applyFont="1" applyFill="1" applyBorder="1" applyAlignment="1" applyProtection="1">
      <alignment horizontal="center"/>
    </xf>
    <xf numFmtId="164" fontId="8" fillId="8" borderId="29" xfId="1" applyNumberFormat="1" applyFont="1" applyFill="1" applyBorder="1" applyAlignment="1" applyProtection="1">
      <alignment horizontal="right"/>
    </xf>
    <xf numFmtId="164" fontId="0" fillId="7" borderId="29" xfId="1" applyNumberFormat="1" applyFont="1" applyFill="1" applyBorder="1" applyAlignment="1" applyProtection="1"/>
    <xf numFmtId="164" fontId="0" fillId="8" borderId="29" xfId="1" applyNumberFormat="1" applyFont="1" applyFill="1" applyBorder="1" applyAlignment="1" applyProtection="1"/>
    <xf numFmtId="164" fontId="8" fillId="7" borderId="29" xfId="1" applyNumberFormat="1" applyFont="1" applyFill="1" applyBorder="1" applyAlignment="1" applyProtection="1">
      <alignment horizontal="right"/>
    </xf>
    <xf numFmtId="164" fontId="0" fillId="0" borderId="29" xfId="1" applyNumberFormat="1" applyFont="1" applyBorder="1" applyAlignment="1" applyProtection="1"/>
    <xf numFmtId="0" fontId="0" fillId="0" borderId="0" xfId="0" applyFont="1"/>
    <xf numFmtId="164" fontId="0" fillId="7" borderId="29" xfId="1" applyNumberFormat="1" applyFont="1" applyFill="1" applyBorder="1" applyAlignment="1" applyProtection="1">
      <alignment horizontal="right"/>
    </xf>
    <xf numFmtId="164" fontId="0" fillId="8" borderId="29" xfId="1" applyNumberFormat="1" applyFont="1" applyFill="1" applyBorder="1" applyAlignment="1" applyProtection="1">
      <alignment horizontal="right"/>
    </xf>
    <xf numFmtId="3" fontId="0" fillId="0" borderId="29" xfId="0" applyNumberFormat="1" applyBorder="1"/>
    <xf numFmtId="3" fontId="0" fillId="8" borderId="29" xfId="0" applyNumberFormat="1" applyFill="1" applyBorder="1"/>
    <xf numFmtId="164" fontId="0" fillId="0" borderId="29" xfId="0" applyNumberFormat="1" applyBorder="1"/>
    <xf numFmtId="164" fontId="0" fillId="8" borderId="29" xfId="0" applyNumberFormat="1" applyFill="1" applyBorder="1"/>
    <xf numFmtId="164" fontId="0" fillId="7" borderId="29" xfId="0" applyNumberFormat="1" applyFill="1" applyBorder="1"/>
    <xf numFmtId="164" fontId="0" fillId="5" borderId="29" xfId="1" applyNumberFormat="1" applyFont="1" applyFill="1" applyBorder="1" applyAlignment="1" applyProtection="1"/>
    <xf numFmtId="164" fontId="0" fillId="8" borderId="29" xfId="0" applyNumberFormat="1" applyFont="1" applyFill="1" applyBorder="1" applyAlignment="1" applyProtection="1"/>
    <xf numFmtId="164" fontId="8" fillId="0" borderId="29" xfId="0" applyNumberFormat="1" applyFont="1" applyBorder="1"/>
    <xf numFmtId="164" fontId="8" fillId="8" borderId="29" xfId="0" applyNumberFormat="1" applyFont="1" applyFill="1" applyBorder="1"/>
    <xf numFmtId="0" fontId="0" fillId="0" borderId="29" xfId="0" applyBorder="1"/>
    <xf numFmtId="1" fontId="0" fillId="0" borderId="29" xfId="0" applyNumberFormat="1" applyBorder="1"/>
    <xf numFmtId="1" fontId="0" fillId="8" borderId="29" xfId="0" applyNumberFormat="1" applyFill="1" applyBorder="1"/>
    <xf numFmtId="164" fontId="0" fillId="7" borderId="0" xfId="1" applyNumberFormat="1" applyFont="1" applyFill="1" applyBorder="1" applyAlignment="1" applyProtection="1"/>
    <xf numFmtId="0" fontId="4" fillId="0" borderId="2" xfId="2" applyFont="1" applyBorder="1" applyAlignment="1">
      <alignment horizontal="center" vertical="center" wrapText="1"/>
    </xf>
    <xf numFmtId="164" fontId="4" fillId="2" borderId="30" xfId="2" applyNumberFormat="1" applyFont="1" applyFill="1" applyBorder="1" applyAlignment="1">
      <alignment horizontal="left"/>
    </xf>
    <xf numFmtId="0" fontId="0" fillId="0" borderId="29" xfId="0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wrapText="1"/>
    </xf>
  </cellXfs>
  <cellStyles count="3">
    <cellStyle name="Ezres" xfId="1" builtinId="3"/>
    <cellStyle name="Normál" xfId="0" builtinId="0"/>
    <cellStyle name="TableStyleLight1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DDD8D"/>
      <rgbColor rgb="00808080"/>
      <rgbColor rgb="009999FF"/>
      <rgbColor rgb="00993366"/>
      <rgbColor rgb="00FFFFCC"/>
      <rgbColor rgb="00E6E6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EB4E3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X104"/>
  <sheetViews>
    <sheetView tabSelected="1" topLeftCell="A91" zoomScaleNormal="100" zoomScalePageLayoutView="60" workbookViewId="0">
      <selection activeCell="A4" sqref="A4"/>
    </sheetView>
  </sheetViews>
  <sheetFormatPr defaultRowHeight="15.75"/>
  <cols>
    <col min="1" max="1" width="36.28515625" style="1"/>
    <col min="2" max="2" width="15" style="1"/>
    <col min="3" max="3" width="16.85546875" style="2" bestFit="1" customWidth="1"/>
    <col min="4" max="4" width="15" style="2"/>
    <col min="5" max="5" width="15" style="3"/>
    <col min="6" max="6" width="13.7109375" style="1"/>
    <col min="7" max="8" width="0" style="1" hidden="1"/>
    <col min="9" max="9" width="10.42578125" style="1"/>
    <col min="10" max="258" width="10.85546875" style="1"/>
    <col min="259" max="1025" width="8.5703125"/>
  </cols>
  <sheetData>
    <row r="1" spans="1:6" ht="35.25" customHeight="1">
      <c r="A1" s="148" t="s">
        <v>0</v>
      </c>
      <c r="B1" s="148"/>
      <c r="C1" s="148"/>
      <c r="D1" s="148"/>
      <c r="E1" s="148"/>
    </row>
    <row r="2" spans="1:6" ht="0.75" hidden="1" customHeight="1">
      <c r="A2" s="4"/>
      <c r="B2" s="4"/>
      <c r="C2" s="4"/>
      <c r="D2" s="4"/>
      <c r="E2" s="4"/>
    </row>
    <row r="3" spans="1:6" ht="15.75" hidden="1" customHeight="1">
      <c r="A3" s="5"/>
      <c r="B3" s="5"/>
      <c r="C3" s="5"/>
      <c r="D3" s="5"/>
      <c r="E3" s="5"/>
    </row>
    <row r="4" spans="1:6" ht="47.25">
      <c r="A4" s="151" t="s">
        <v>1</v>
      </c>
      <c r="B4" s="6" t="s">
        <v>2</v>
      </c>
      <c r="C4" s="7" t="s">
        <v>3</v>
      </c>
      <c r="D4" s="7" t="s">
        <v>4</v>
      </c>
      <c r="E4" s="8" t="s">
        <v>5</v>
      </c>
    </row>
    <row r="5" spans="1:6">
      <c r="A5" s="9" t="s">
        <v>6</v>
      </c>
      <c r="B5" s="9"/>
      <c r="C5" s="9"/>
      <c r="D5" s="9"/>
      <c r="E5" s="9"/>
    </row>
    <row r="6" spans="1:6">
      <c r="A6" s="10" t="s">
        <v>7</v>
      </c>
      <c r="B6" s="11">
        <v>0</v>
      </c>
      <c r="C6" s="12"/>
      <c r="D6" s="12"/>
      <c r="E6" s="13">
        <f t="shared" ref="E6:E23" si="0">B6-D6</f>
        <v>0</v>
      </c>
    </row>
    <row r="7" spans="1:6">
      <c r="A7" s="14" t="s">
        <v>8</v>
      </c>
      <c r="B7" s="15">
        <v>200000</v>
      </c>
      <c r="C7" s="16">
        <v>371287</v>
      </c>
      <c r="D7" s="16">
        <f>C7*1.27</f>
        <v>471534.49</v>
      </c>
      <c r="E7" s="17">
        <f t="shared" si="0"/>
        <v>-271534.49</v>
      </c>
    </row>
    <row r="8" spans="1:6">
      <c r="A8" s="14" t="s">
        <v>9</v>
      </c>
      <c r="B8" s="15">
        <v>10000</v>
      </c>
      <c r="C8" s="16">
        <f>607*7</f>
        <v>4249</v>
      </c>
      <c r="D8" s="16">
        <f>C8*1.27</f>
        <v>5396.2300000000005</v>
      </c>
      <c r="E8" s="17">
        <f t="shared" si="0"/>
        <v>4603.7699999999995</v>
      </c>
      <c r="F8" s="18"/>
    </row>
    <row r="9" spans="1:6">
      <c r="A9" s="14" t="s">
        <v>10</v>
      </c>
      <c r="B9" s="15">
        <v>1800000</v>
      </c>
      <c r="C9" s="16">
        <v>490000</v>
      </c>
      <c r="D9" s="16">
        <f>C9*1.27</f>
        <v>622300</v>
      </c>
      <c r="E9" s="17">
        <f t="shared" si="0"/>
        <v>1177700</v>
      </c>
    </row>
    <row r="10" spans="1:6">
      <c r="A10" s="19" t="s">
        <v>11</v>
      </c>
      <c r="B10" s="20">
        <v>100000</v>
      </c>
      <c r="C10" s="16">
        <v>0</v>
      </c>
      <c r="D10" s="16">
        <f>C10*1.27</f>
        <v>0</v>
      </c>
      <c r="E10" s="17">
        <f t="shared" si="0"/>
        <v>100000</v>
      </c>
    </row>
    <row r="11" spans="1:6">
      <c r="A11" s="14" t="s">
        <v>12</v>
      </c>
      <c r="B11" s="15">
        <v>2000000</v>
      </c>
      <c r="C11" s="16">
        <v>943111</v>
      </c>
      <c r="D11" s="16">
        <v>943111</v>
      </c>
      <c r="E11" s="17">
        <f t="shared" si="0"/>
        <v>1056889</v>
      </c>
    </row>
    <row r="12" spans="1:6">
      <c r="A12" s="14" t="s">
        <v>13</v>
      </c>
      <c r="B12" s="15">
        <v>100000</v>
      </c>
      <c r="C12" s="16">
        <v>3974</v>
      </c>
      <c r="D12" s="16">
        <f>C12*1.27</f>
        <v>5046.9800000000005</v>
      </c>
      <c r="E12" s="17">
        <f t="shared" si="0"/>
        <v>94953.02</v>
      </c>
    </row>
    <row r="13" spans="1:6">
      <c r="A13" s="14" t="s">
        <v>14</v>
      </c>
      <c r="B13" s="15">
        <v>700000</v>
      </c>
      <c r="C13" s="16">
        <v>66805</v>
      </c>
      <c r="D13" s="16">
        <v>66805</v>
      </c>
      <c r="E13" s="17">
        <f t="shared" si="0"/>
        <v>633195</v>
      </c>
    </row>
    <row r="14" spans="1:6">
      <c r="A14" s="14" t="s">
        <v>15</v>
      </c>
      <c r="B14" s="15">
        <v>0</v>
      </c>
      <c r="C14" s="16">
        <v>0</v>
      </c>
      <c r="D14" s="16">
        <f t="shared" ref="D14:D23" si="1">C14*1.27</f>
        <v>0</v>
      </c>
      <c r="E14" s="17">
        <f t="shared" si="0"/>
        <v>0</v>
      </c>
    </row>
    <row r="15" spans="1:6">
      <c r="A15" s="14" t="s">
        <v>16</v>
      </c>
      <c r="B15" s="15">
        <v>0</v>
      </c>
      <c r="C15" s="16">
        <v>0</v>
      </c>
      <c r="D15" s="16">
        <f t="shared" si="1"/>
        <v>0</v>
      </c>
      <c r="E15" s="17">
        <f t="shared" si="0"/>
        <v>0</v>
      </c>
    </row>
    <row r="16" spans="1:6">
      <c r="A16" s="14" t="s">
        <v>17</v>
      </c>
      <c r="B16" s="15">
        <v>0</v>
      </c>
      <c r="C16" s="16">
        <v>105720</v>
      </c>
      <c r="D16" s="16">
        <f t="shared" si="1"/>
        <v>134264.4</v>
      </c>
      <c r="E16" s="17">
        <f t="shared" si="0"/>
        <v>-134264.4</v>
      </c>
    </row>
    <row r="17" spans="1:5">
      <c r="A17" s="14" t="s">
        <v>18</v>
      </c>
      <c r="B17" s="15">
        <v>144000</v>
      </c>
      <c r="C17" s="16">
        <v>67625</v>
      </c>
      <c r="D17" s="16">
        <f t="shared" si="1"/>
        <v>85883.75</v>
      </c>
      <c r="E17" s="17">
        <f t="shared" si="0"/>
        <v>58116.25</v>
      </c>
    </row>
    <row r="18" spans="1:5">
      <c r="A18" s="14" t="s">
        <v>19</v>
      </c>
      <c r="B18" s="15">
        <v>0</v>
      </c>
      <c r="C18" s="16">
        <v>0</v>
      </c>
      <c r="D18" s="16">
        <f t="shared" si="1"/>
        <v>0</v>
      </c>
      <c r="E18" s="17">
        <f t="shared" si="0"/>
        <v>0</v>
      </c>
    </row>
    <row r="19" spans="1:5">
      <c r="A19" s="19" t="s">
        <v>20</v>
      </c>
      <c r="B19" s="20">
        <v>67200</v>
      </c>
      <c r="C19" s="16">
        <v>0</v>
      </c>
      <c r="D19" s="16">
        <f t="shared" si="1"/>
        <v>0</v>
      </c>
      <c r="E19" s="17">
        <f t="shared" si="0"/>
        <v>67200</v>
      </c>
    </row>
    <row r="20" spans="1:5">
      <c r="A20" s="14" t="s">
        <v>21</v>
      </c>
      <c r="B20" s="15">
        <v>300000</v>
      </c>
      <c r="C20" s="16">
        <f>10000+179339+20000</f>
        <v>209339</v>
      </c>
      <c r="D20" s="16">
        <f t="shared" si="1"/>
        <v>265860.53000000003</v>
      </c>
      <c r="E20" s="17">
        <f t="shared" si="0"/>
        <v>34139.469999999972</v>
      </c>
    </row>
    <row r="21" spans="1:5">
      <c r="A21" s="14" t="s">
        <v>22</v>
      </c>
      <c r="B21" s="15">
        <v>1500000</v>
      </c>
      <c r="C21" s="16">
        <v>0</v>
      </c>
      <c r="D21" s="16">
        <f t="shared" si="1"/>
        <v>0</v>
      </c>
      <c r="E21" s="17">
        <f t="shared" si="0"/>
        <v>1500000</v>
      </c>
    </row>
    <row r="22" spans="1:5">
      <c r="A22" s="14" t="s">
        <v>23</v>
      </c>
      <c r="B22" s="15">
        <v>0</v>
      </c>
      <c r="C22" s="16">
        <v>0</v>
      </c>
      <c r="D22" s="16">
        <f t="shared" si="1"/>
        <v>0</v>
      </c>
      <c r="E22" s="17">
        <f t="shared" si="0"/>
        <v>0</v>
      </c>
    </row>
    <row r="23" spans="1:5">
      <c r="A23" s="21" t="s">
        <v>24</v>
      </c>
      <c r="B23" s="22">
        <v>20000</v>
      </c>
      <c r="C23" s="23">
        <v>0</v>
      </c>
      <c r="D23" s="16">
        <f t="shared" si="1"/>
        <v>0</v>
      </c>
      <c r="E23" s="17">
        <f t="shared" si="0"/>
        <v>20000</v>
      </c>
    </row>
    <row r="24" spans="1:5">
      <c r="A24" s="24" t="s">
        <v>25</v>
      </c>
      <c r="B24" s="25">
        <f>SUM(B6:B23)</f>
        <v>6941200</v>
      </c>
      <c r="C24" s="26">
        <f>SUM(C6:C23)</f>
        <v>2262110</v>
      </c>
      <c r="D24" s="26">
        <f>SUM(D6:D23)</f>
        <v>2600202.38</v>
      </c>
      <c r="E24" s="27">
        <f>SUM(E7:E23)</f>
        <v>4340997.62</v>
      </c>
    </row>
    <row r="25" spans="1:5">
      <c r="A25" s="28" t="s">
        <v>26</v>
      </c>
      <c r="B25" s="28"/>
      <c r="C25" s="28"/>
      <c r="D25" s="28"/>
      <c r="E25" s="28"/>
    </row>
    <row r="26" spans="1:5">
      <c r="A26" s="10" t="s">
        <v>27</v>
      </c>
      <c r="B26" s="11">
        <v>710226</v>
      </c>
      <c r="C26" s="12">
        <v>508800</v>
      </c>
      <c r="D26" s="12">
        <f>C26</f>
        <v>508800</v>
      </c>
      <c r="E26" s="13">
        <f>B26-D26</f>
        <v>201426</v>
      </c>
    </row>
    <row r="27" spans="1:5">
      <c r="A27" s="14" t="s">
        <v>28</v>
      </c>
      <c r="B27" s="15">
        <v>30000</v>
      </c>
      <c r="C27" s="16">
        <v>106692</v>
      </c>
      <c r="D27" s="12">
        <f>C27</f>
        <v>106692</v>
      </c>
      <c r="E27" s="17">
        <f>B27-D27</f>
        <v>-76692</v>
      </c>
    </row>
    <row r="28" spans="1:5" ht="15" customHeight="1">
      <c r="A28" s="29" t="s">
        <v>29</v>
      </c>
      <c r="B28" s="30">
        <v>980000</v>
      </c>
      <c r="C28" s="16">
        <f>512+258468+37476</f>
        <v>296456</v>
      </c>
      <c r="D28" s="16">
        <f>C28</f>
        <v>296456</v>
      </c>
      <c r="E28" s="17">
        <f>B28-D28</f>
        <v>683544</v>
      </c>
    </row>
    <row r="29" spans="1:5">
      <c r="A29" s="21" t="s">
        <v>30</v>
      </c>
      <c r="B29" s="22">
        <v>100000</v>
      </c>
      <c r="C29" s="23">
        <v>35325</v>
      </c>
      <c r="D29" s="16">
        <f>C29</f>
        <v>35325</v>
      </c>
      <c r="E29" s="17">
        <f>B29-D29</f>
        <v>64675</v>
      </c>
    </row>
    <row r="30" spans="1:5">
      <c r="A30" s="31" t="s">
        <v>25</v>
      </c>
      <c r="B30" s="26">
        <f>SUM(B26:B29)</f>
        <v>1820226</v>
      </c>
      <c r="C30" s="26">
        <f>SUM(C26:C29)</f>
        <v>947273</v>
      </c>
      <c r="D30" s="26">
        <f>SUM(D26:D29)</f>
        <v>947273</v>
      </c>
      <c r="E30" s="27">
        <f>SUM(E26:E29)</f>
        <v>872953</v>
      </c>
    </row>
    <row r="31" spans="1:5">
      <c r="A31" s="28" t="s">
        <v>31</v>
      </c>
      <c r="B31" s="28"/>
      <c r="C31" s="28"/>
      <c r="D31" s="28"/>
      <c r="E31" s="28"/>
    </row>
    <row r="32" spans="1:5">
      <c r="A32" s="32" t="s">
        <v>32</v>
      </c>
      <c r="B32" s="33">
        <v>120000</v>
      </c>
      <c r="C32" s="12">
        <v>0</v>
      </c>
      <c r="D32" s="12">
        <f t="shared" ref="D32:D38" si="2">C32*1.27</f>
        <v>0</v>
      </c>
      <c r="E32" s="13">
        <f t="shared" ref="E32:E46" si="3">B32-D32</f>
        <v>120000</v>
      </c>
    </row>
    <row r="33" spans="1:5">
      <c r="A33" s="14" t="s">
        <v>33</v>
      </c>
      <c r="B33" s="15">
        <v>100000</v>
      </c>
      <c r="C33" s="16">
        <v>0</v>
      </c>
      <c r="D33" s="12">
        <f t="shared" si="2"/>
        <v>0</v>
      </c>
      <c r="E33" s="17">
        <f t="shared" si="3"/>
        <v>100000</v>
      </c>
    </row>
    <row r="34" spans="1:5">
      <c r="A34" s="14" t="s">
        <v>34</v>
      </c>
      <c r="B34" s="20">
        <v>10000</v>
      </c>
      <c r="C34" s="16">
        <v>7861</v>
      </c>
      <c r="D34" s="16">
        <f t="shared" si="2"/>
        <v>9983.4699999999993</v>
      </c>
      <c r="E34" s="17">
        <f t="shared" si="3"/>
        <v>16.530000000000655</v>
      </c>
    </row>
    <row r="35" spans="1:5">
      <c r="A35" s="14" t="s">
        <v>35</v>
      </c>
      <c r="B35" s="15">
        <v>350000</v>
      </c>
      <c r="C35" s="16">
        <v>156044</v>
      </c>
      <c r="D35" s="16">
        <f t="shared" si="2"/>
        <v>198175.88</v>
      </c>
      <c r="E35" s="17">
        <f t="shared" si="3"/>
        <v>151824.12</v>
      </c>
    </row>
    <row r="36" spans="1:5">
      <c r="A36" s="14" t="s">
        <v>36</v>
      </c>
      <c r="B36" s="15">
        <v>100000</v>
      </c>
      <c r="C36" s="16">
        <v>47244</v>
      </c>
      <c r="D36" s="16">
        <f t="shared" si="2"/>
        <v>59999.88</v>
      </c>
      <c r="E36" s="17">
        <f t="shared" si="3"/>
        <v>40000.120000000003</v>
      </c>
    </row>
    <row r="37" spans="1:5">
      <c r="A37" s="14" t="s">
        <v>37</v>
      </c>
      <c r="B37" s="15">
        <v>500000</v>
      </c>
      <c r="C37" s="16">
        <v>454760</v>
      </c>
      <c r="D37" s="16">
        <f t="shared" si="2"/>
        <v>577545.19999999995</v>
      </c>
      <c r="E37" s="17">
        <f t="shared" si="3"/>
        <v>-77545.199999999953</v>
      </c>
    </row>
    <row r="38" spans="1:5">
      <c r="A38" s="14" t="s">
        <v>38</v>
      </c>
      <c r="B38" s="15">
        <v>1417323</v>
      </c>
      <c r="C38" s="16">
        <f>1263120+30595+560433+28263</f>
        <v>1882411</v>
      </c>
      <c r="D38" s="16">
        <f t="shared" si="2"/>
        <v>2390661.9700000002</v>
      </c>
      <c r="E38" s="17">
        <f t="shared" si="3"/>
        <v>-973338.9700000002</v>
      </c>
    </row>
    <row r="39" spans="1:5">
      <c r="A39" s="14" t="s">
        <v>39</v>
      </c>
      <c r="B39" s="15">
        <v>310000</v>
      </c>
      <c r="C39" s="16">
        <f>384500</f>
        <v>384500</v>
      </c>
      <c r="D39" s="16">
        <v>384500</v>
      </c>
      <c r="E39" s="17">
        <f t="shared" si="3"/>
        <v>-74500</v>
      </c>
    </row>
    <row r="40" spans="1:5">
      <c r="A40" s="14" t="s">
        <v>40</v>
      </c>
      <c r="B40" s="15">
        <v>0</v>
      </c>
      <c r="C40" s="16">
        <v>0</v>
      </c>
      <c r="D40" s="16">
        <f>C40*1.27</f>
        <v>0</v>
      </c>
      <c r="E40" s="17">
        <f t="shared" si="3"/>
        <v>0</v>
      </c>
    </row>
    <row r="41" spans="1:5">
      <c r="A41" s="14" t="s">
        <v>41</v>
      </c>
      <c r="B41" s="15">
        <v>400000</v>
      </c>
      <c r="C41" s="16">
        <v>0</v>
      </c>
      <c r="D41" s="16">
        <f>C41*1.27</f>
        <v>0</v>
      </c>
      <c r="E41" s="17">
        <f t="shared" si="3"/>
        <v>400000</v>
      </c>
    </row>
    <row r="42" spans="1:5">
      <c r="A42" s="14" t="s">
        <v>42</v>
      </c>
      <c r="B42" s="15">
        <v>1200000</v>
      </c>
      <c r="C42" s="16">
        <v>265000</v>
      </c>
      <c r="D42" s="16">
        <v>265000</v>
      </c>
      <c r="E42" s="17">
        <f t="shared" si="3"/>
        <v>935000</v>
      </c>
    </row>
    <row r="43" spans="1:5">
      <c r="A43" s="14" t="s">
        <v>43</v>
      </c>
      <c r="B43" s="15">
        <v>25000000</v>
      </c>
      <c r="C43" s="16">
        <f>1949280+16800+4463275</f>
        <v>6429355</v>
      </c>
      <c r="D43" s="16">
        <f>C43*1.27</f>
        <v>8165280.8500000006</v>
      </c>
      <c r="E43" s="17">
        <f t="shared" si="3"/>
        <v>16834719.149999999</v>
      </c>
    </row>
    <row r="44" spans="1:5">
      <c r="A44" s="19" t="s">
        <v>44</v>
      </c>
      <c r="B44" s="20">
        <v>10687918</v>
      </c>
      <c r="C44" s="16">
        <f>2063551+163714+1191+954398+27661+442490</f>
        <v>3653005</v>
      </c>
      <c r="D44" s="16">
        <f>C44*1.27+17167</f>
        <v>4656483.3499999996</v>
      </c>
      <c r="E44" s="17">
        <f t="shared" si="3"/>
        <v>6031434.6500000004</v>
      </c>
    </row>
    <row r="45" spans="1:5">
      <c r="A45" s="14" t="s">
        <v>45</v>
      </c>
      <c r="B45" s="15">
        <v>300000</v>
      </c>
      <c r="C45" s="16">
        <v>0</v>
      </c>
      <c r="D45" s="16">
        <f>C45*1.27</f>
        <v>0</v>
      </c>
      <c r="E45" s="17">
        <f t="shared" si="3"/>
        <v>300000</v>
      </c>
    </row>
    <row r="46" spans="1:5">
      <c r="A46" s="21" t="s">
        <v>46</v>
      </c>
      <c r="B46" s="22">
        <v>614981</v>
      </c>
      <c r="C46" s="16">
        <v>1121757</v>
      </c>
      <c r="D46" s="16">
        <f>C46*1.27-20246</f>
        <v>1404385.3900000001</v>
      </c>
      <c r="E46" s="17">
        <f t="shared" si="3"/>
        <v>-789404.39000000013</v>
      </c>
    </row>
    <row r="47" spans="1:5">
      <c r="A47" s="24" t="s">
        <v>25</v>
      </c>
      <c r="B47" s="34">
        <f>SUM(B32:B46)</f>
        <v>41110222</v>
      </c>
      <c r="C47" s="26">
        <f>SUM(C32:C46)</f>
        <v>14401937</v>
      </c>
      <c r="D47" s="26">
        <f>SUM(D32:D46)</f>
        <v>18112015.989999998</v>
      </c>
      <c r="E47" s="27">
        <f>SUM(E32:E46)</f>
        <v>22998206.009999998</v>
      </c>
    </row>
    <row r="48" spans="1:5">
      <c r="A48" s="35" t="s">
        <v>47</v>
      </c>
      <c r="B48" s="36">
        <v>100000</v>
      </c>
      <c r="C48" s="37">
        <v>0</v>
      </c>
      <c r="D48" s="37">
        <v>0</v>
      </c>
      <c r="E48" s="38">
        <f>B48-D48</f>
        <v>100000</v>
      </c>
    </row>
    <row r="49" spans="1:9">
      <c r="A49" s="31" t="s">
        <v>48</v>
      </c>
      <c r="B49" s="39">
        <v>100000</v>
      </c>
      <c r="C49" s="26">
        <v>0</v>
      </c>
      <c r="D49" s="26"/>
      <c r="E49" s="27">
        <f>E48</f>
        <v>100000</v>
      </c>
    </row>
    <row r="50" spans="1:9">
      <c r="A50" s="10" t="s">
        <v>49</v>
      </c>
      <c r="B50" s="36">
        <v>15094380</v>
      </c>
      <c r="C50" s="37">
        <f>10918839+7560+164400+2078624+107058+90822+35000</f>
        <v>13402303</v>
      </c>
      <c r="D50" s="37">
        <v>13402303</v>
      </c>
      <c r="E50" s="38">
        <f>B50-D50</f>
        <v>1692077</v>
      </c>
    </row>
    <row r="51" spans="1:9">
      <c r="A51" s="31" t="s">
        <v>48</v>
      </c>
      <c r="B51" s="39">
        <f>SUM(B50:B50)</f>
        <v>15094380</v>
      </c>
      <c r="C51" s="26">
        <f>C50</f>
        <v>13402303</v>
      </c>
      <c r="D51" s="26">
        <f>D50</f>
        <v>13402303</v>
      </c>
      <c r="E51" s="26">
        <f>E50</f>
        <v>1692077</v>
      </c>
    </row>
    <row r="52" spans="1:9">
      <c r="A52" s="40" t="s">
        <v>50</v>
      </c>
      <c r="B52" s="40"/>
      <c r="C52" s="41"/>
      <c r="D52" s="41"/>
      <c r="E52" s="41"/>
    </row>
    <row r="53" spans="1:9" s="42" customFormat="1" ht="14.25">
      <c r="A53" s="42" t="s">
        <v>51</v>
      </c>
      <c r="C53" s="43">
        <v>5171872</v>
      </c>
      <c r="D53" s="43"/>
      <c r="E53" s="43"/>
    </row>
    <row r="54" spans="1:9">
      <c r="A54" s="44" t="s">
        <v>52</v>
      </c>
      <c r="B54" s="45">
        <f>B72+B51+B49+B47+B30+B24</f>
        <v>69600000</v>
      </c>
      <c r="C54" s="45">
        <f>C51+C49+C47+C30+C24+C53</f>
        <v>36185495</v>
      </c>
      <c r="D54" s="45">
        <f>D51+D49+D47+D30+D24+D53</f>
        <v>35061794.369999997</v>
      </c>
      <c r="E54" s="46">
        <f>E51+E49+E47+E30+E24+E53</f>
        <v>30004233.629999999</v>
      </c>
    </row>
    <row r="55" spans="1:9">
      <c r="A55" s="47"/>
      <c r="B55" s="48"/>
      <c r="C55" s="41"/>
      <c r="D55" s="41"/>
      <c r="E55" s="41"/>
      <c r="F55" s="18"/>
    </row>
    <row r="56" spans="1:9">
      <c r="A56" s="49" t="s">
        <v>53</v>
      </c>
      <c r="B56" s="50"/>
      <c r="C56" s="51"/>
      <c r="D56" s="51"/>
      <c r="E56" s="52"/>
      <c r="H56" s="53"/>
      <c r="I56" s="18"/>
    </row>
    <row r="57" spans="1:9">
      <c r="A57" s="54" t="s">
        <v>54</v>
      </c>
      <c r="B57" s="55">
        <v>68000000</v>
      </c>
      <c r="C57" s="16">
        <v>18726645</v>
      </c>
      <c r="D57" s="16">
        <f>C57*1.27</f>
        <v>23782839.149999999</v>
      </c>
      <c r="E57" s="17">
        <f t="shared" ref="E57:E63" si="4">B57-D57</f>
        <v>44217160.850000001</v>
      </c>
    </row>
    <row r="58" spans="1:9" ht="31.5">
      <c r="A58" s="56" t="s">
        <v>55</v>
      </c>
      <c r="B58" s="55">
        <v>600000</v>
      </c>
      <c r="C58" s="16">
        <v>746810</v>
      </c>
      <c r="D58" s="16">
        <f>C58+20246</f>
        <v>767056</v>
      </c>
      <c r="E58" s="17">
        <f t="shared" si="4"/>
        <v>-167056</v>
      </c>
      <c r="F58" s="18"/>
    </row>
    <row r="59" spans="1:9">
      <c r="A59" s="54" t="s">
        <v>56</v>
      </c>
      <c r="B59" s="55">
        <v>0</v>
      </c>
      <c r="C59" s="16">
        <v>12431</v>
      </c>
      <c r="D59" s="16">
        <f>C59*1.27</f>
        <v>15787.37</v>
      </c>
      <c r="E59" s="17">
        <f t="shared" si="4"/>
        <v>-15787.37</v>
      </c>
    </row>
    <row r="60" spans="1:9">
      <c r="A60" s="54" t="s">
        <v>57</v>
      </c>
      <c r="B60" s="55">
        <v>0</v>
      </c>
      <c r="C60" s="16">
        <v>4055570</v>
      </c>
      <c r="D60" s="16">
        <f>C60</f>
        <v>4055570</v>
      </c>
      <c r="E60" s="17">
        <f t="shared" si="4"/>
        <v>-4055570</v>
      </c>
    </row>
    <row r="61" spans="1:9">
      <c r="A61" s="54" t="s">
        <v>58</v>
      </c>
      <c r="B61" s="55">
        <v>0</v>
      </c>
      <c r="C61" s="16">
        <f>1245100+12320</f>
        <v>1257420</v>
      </c>
      <c r="D61" s="16">
        <f>C61</f>
        <v>1257420</v>
      </c>
      <c r="E61" s="17">
        <f t="shared" si="4"/>
        <v>-1257420</v>
      </c>
    </row>
    <row r="62" spans="1:9">
      <c r="A62" s="54" t="s">
        <v>59</v>
      </c>
      <c r="B62" s="55">
        <v>0</v>
      </c>
      <c r="C62" s="16">
        <v>858</v>
      </c>
      <c r="D62" s="16">
        <f>C62</f>
        <v>858</v>
      </c>
      <c r="E62" s="17">
        <f t="shared" si="4"/>
        <v>-858</v>
      </c>
    </row>
    <row r="63" spans="1:9">
      <c r="A63" s="57" t="s">
        <v>60</v>
      </c>
      <c r="B63" s="58"/>
      <c r="C63" s="23"/>
      <c r="D63" s="23">
        <v>2962764</v>
      </c>
      <c r="E63" s="17">
        <f t="shared" si="4"/>
        <v>-2962764</v>
      </c>
    </row>
    <row r="64" spans="1:9">
      <c r="A64" s="59" t="s">
        <v>61</v>
      </c>
      <c r="B64" s="46">
        <f>SUM(B57:B59)</f>
        <v>68600000</v>
      </c>
      <c r="C64" s="60">
        <f>SUM(C57:C62)</f>
        <v>24799734</v>
      </c>
      <c r="D64" s="61">
        <f>SUM(D57:D63)</f>
        <v>32842294.52</v>
      </c>
      <c r="E64" s="62">
        <f>SUM(E57:E63)</f>
        <v>35757705.480000004</v>
      </c>
      <c r="F64" s="18"/>
    </row>
    <row r="65" spans="1:5" ht="16.5" customHeight="1">
      <c r="A65" s="63" t="s">
        <v>62</v>
      </c>
      <c r="B65" s="64"/>
      <c r="C65" s="64">
        <f>C64-C54</f>
        <v>-11385761</v>
      </c>
      <c r="D65" s="64"/>
      <c r="E65" s="64"/>
    </row>
    <row r="66" spans="1:5" s="67" customFormat="1">
      <c r="A66" s="65"/>
      <c r="B66" s="66"/>
      <c r="C66" s="66"/>
      <c r="D66" s="66"/>
      <c r="E66" s="66"/>
    </row>
    <row r="67" spans="1:5">
      <c r="A67" s="149" t="s">
        <v>63</v>
      </c>
      <c r="B67" s="149"/>
      <c r="C67" s="12"/>
      <c r="D67" s="12"/>
      <c r="E67" s="13"/>
    </row>
    <row r="68" spans="1:5">
      <c r="A68" s="19" t="s">
        <v>64</v>
      </c>
      <c r="B68" s="20">
        <v>2200000</v>
      </c>
      <c r="C68" s="16">
        <v>0</v>
      </c>
      <c r="D68" s="16">
        <v>0</v>
      </c>
      <c r="E68" s="17">
        <f>B68-D68</f>
        <v>2200000</v>
      </c>
    </row>
    <row r="69" spans="1:5">
      <c r="A69" s="19" t="s">
        <v>65</v>
      </c>
      <c r="B69" s="20">
        <v>357472</v>
      </c>
      <c r="C69" s="16">
        <v>0</v>
      </c>
      <c r="D69" s="16">
        <v>0</v>
      </c>
      <c r="E69" s="17">
        <f>B69-D69</f>
        <v>357472</v>
      </c>
    </row>
    <row r="70" spans="1:5">
      <c r="A70" s="19" t="s">
        <v>66</v>
      </c>
      <c r="B70" s="20">
        <v>1500000</v>
      </c>
      <c r="C70" s="16">
        <f>3198472-C71</f>
        <v>2657472</v>
      </c>
      <c r="D70" s="16">
        <f>C70*1.27</f>
        <v>3374989.44</v>
      </c>
      <c r="E70" s="17">
        <f>B70-D70</f>
        <v>-1874989.44</v>
      </c>
    </row>
    <row r="71" spans="1:5">
      <c r="A71" s="68" t="s">
        <v>67</v>
      </c>
      <c r="B71" s="69">
        <v>476500</v>
      </c>
      <c r="C71" s="16">
        <v>541000</v>
      </c>
      <c r="D71" s="16">
        <f>C71*1.27</f>
        <v>687070</v>
      </c>
      <c r="E71" s="17">
        <f>B71-D71</f>
        <v>-210570</v>
      </c>
    </row>
    <row r="72" spans="1:5">
      <c r="A72" s="31" t="s">
        <v>48</v>
      </c>
      <c r="B72" s="39">
        <f>SUM(B68:B71)</f>
        <v>4533972</v>
      </c>
      <c r="C72" s="26">
        <f>SUM(C68:C71)</f>
        <v>3198472</v>
      </c>
      <c r="D72" s="26">
        <f>SUM(D68:D71)</f>
        <v>4062059.44</v>
      </c>
      <c r="E72" s="27">
        <f>SUM(E68:E71)</f>
        <v>471912.56000000006</v>
      </c>
    </row>
    <row r="73" spans="1:5">
      <c r="A73" s="70" t="s">
        <v>68</v>
      </c>
      <c r="B73" s="70"/>
      <c r="C73" s="71"/>
      <c r="D73" s="72">
        <f>F64-F54</f>
        <v>0</v>
      </c>
      <c r="E73" s="16"/>
    </row>
    <row r="74" spans="1:5">
      <c r="A74" s="73" t="s">
        <v>69</v>
      </c>
      <c r="B74" s="73"/>
      <c r="C74" s="74">
        <f>C65-D74</f>
        <v>-5104201.7100000009</v>
      </c>
      <c r="D74" s="74">
        <f>D64-D72-D54</f>
        <v>-6281559.2899999991</v>
      </c>
      <c r="E74" s="16">
        <f>D74-E77</f>
        <v>-6281559.2899999991</v>
      </c>
    </row>
    <row r="75" spans="1:5" s="67" customFormat="1">
      <c r="A75" s="75"/>
      <c r="B75" s="75"/>
      <c r="C75" s="76"/>
      <c r="D75" s="76"/>
      <c r="E75" s="77"/>
    </row>
    <row r="76" spans="1:5" s="67" customFormat="1">
      <c r="A76" s="75"/>
      <c r="B76" s="75"/>
      <c r="C76" s="76"/>
      <c r="D76" s="76"/>
      <c r="E76" s="77"/>
    </row>
    <row r="77" spans="1:5" ht="47.25">
      <c r="A77" s="78" t="s">
        <v>70</v>
      </c>
      <c r="B77" s="79"/>
      <c r="C77" s="80"/>
      <c r="D77" s="81"/>
      <c r="E77" s="77"/>
    </row>
    <row r="78" spans="1:5">
      <c r="A78" s="79" t="s">
        <v>71</v>
      </c>
      <c r="B78" s="82"/>
      <c r="C78" s="83"/>
      <c r="D78" s="84"/>
      <c r="E78" s="80"/>
    </row>
    <row r="79" spans="1:5">
      <c r="A79" s="82" t="str">
        <f>A57</f>
        <v>kiszámlázott hulladékbegyűjtési díj</v>
      </c>
      <c r="B79" s="82"/>
      <c r="C79" s="85">
        <f>C57</f>
        <v>18726645</v>
      </c>
      <c r="D79" s="86"/>
      <c r="E79" s="87"/>
    </row>
    <row r="80" spans="1:5">
      <c r="A80" s="82" t="str">
        <f>A58</f>
        <v>szelektív hulladék értékesítés + TESZED (fordított Áfás)</v>
      </c>
      <c r="B80" s="82"/>
      <c r="C80" s="85">
        <f>C58</f>
        <v>746810</v>
      </c>
      <c r="D80" s="86"/>
      <c r="E80" s="87"/>
    </row>
    <row r="81" spans="1:5">
      <c r="A81" s="82" t="s">
        <v>56</v>
      </c>
      <c r="B81" s="82"/>
      <c r="C81" s="88">
        <v>12431</v>
      </c>
      <c r="D81" s="86"/>
      <c r="E81" s="87"/>
    </row>
    <row r="82" spans="1:5">
      <c r="A82" s="79" t="s">
        <v>72</v>
      </c>
      <c r="B82" s="79"/>
      <c r="C82" s="89">
        <f>SUM(C79:C81)</f>
        <v>19485886</v>
      </c>
      <c r="D82" s="86"/>
      <c r="E82" s="87"/>
    </row>
    <row r="83" spans="1:5">
      <c r="A83" s="82"/>
      <c r="B83" s="82"/>
      <c r="C83" s="88"/>
      <c r="D83" s="86"/>
      <c r="E83" s="87"/>
    </row>
    <row r="84" spans="1:5">
      <c r="A84" s="79" t="s">
        <v>73</v>
      </c>
      <c r="B84" s="79"/>
      <c r="C84" s="89"/>
      <c r="D84" s="86"/>
      <c r="E84" s="87"/>
    </row>
    <row r="85" spans="1:5">
      <c r="A85" s="82" t="s">
        <v>74</v>
      </c>
      <c r="B85" s="82"/>
      <c r="C85" s="88">
        <v>1245100</v>
      </c>
      <c r="D85" s="86"/>
      <c r="E85" s="87"/>
    </row>
    <row r="86" spans="1:5">
      <c r="A86" s="82" t="s">
        <v>75</v>
      </c>
      <c r="B86" s="82"/>
      <c r="C86" s="88">
        <v>12320</v>
      </c>
      <c r="D86" s="86"/>
      <c r="E86" s="87"/>
    </row>
    <row r="87" spans="1:5">
      <c r="A87" s="79" t="s">
        <v>76</v>
      </c>
      <c r="B87" s="79"/>
      <c r="C87" s="89">
        <f>SUM(C85:C86)</f>
        <v>1257420</v>
      </c>
      <c r="D87" s="86"/>
      <c r="E87" s="87"/>
    </row>
    <row r="88" spans="1:5">
      <c r="A88" s="79"/>
      <c r="B88" s="79"/>
      <c r="C88" s="90"/>
      <c r="D88" s="86"/>
      <c r="E88" s="87"/>
    </row>
    <row r="89" spans="1:5">
      <c r="A89" s="79" t="s">
        <v>77</v>
      </c>
      <c r="B89" s="79"/>
      <c r="C89" s="89">
        <f>C62</f>
        <v>858</v>
      </c>
      <c r="D89" s="86"/>
      <c r="E89" s="87"/>
    </row>
    <row r="90" spans="1:5">
      <c r="A90" s="82"/>
      <c r="B90" s="82"/>
      <c r="C90" s="91"/>
      <c r="D90" s="86"/>
      <c r="E90" s="87"/>
    </row>
    <row r="91" spans="1:5" ht="31.5">
      <c r="A91" s="92" t="s">
        <v>78</v>
      </c>
      <c r="B91" s="82"/>
      <c r="C91" s="93"/>
      <c r="D91" s="86"/>
      <c r="E91" s="87"/>
    </row>
    <row r="92" spans="1:5">
      <c r="A92" s="94" t="s">
        <v>79</v>
      </c>
      <c r="B92" s="82"/>
      <c r="C92" s="95">
        <v>16693806</v>
      </c>
      <c r="D92" s="86"/>
      <c r="E92" s="87"/>
    </row>
    <row r="93" spans="1:5">
      <c r="A93" s="94" t="s">
        <v>80</v>
      </c>
      <c r="B93" s="82"/>
      <c r="C93" s="95">
        <v>14313739</v>
      </c>
      <c r="D93" s="86"/>
      <c r="E93" s="87"/>
    </row>
    <row r="94" spans="1:5">
      <c r="A94" s="96" t="s">
        <v>81</v>
      </c>
      <c r="B94" s="82"/>
      <c r="C94" s="97">
        <v>6078</v>
      </c>
      <c r="D94" s="98"/>
      <c r="E94" s="87"/>
    </row>
    <row r="95" spans="1:5">
      <c r="A95" s="78" t="s">
        <v>82</v>
      </c>
      <c r="B95" s="79"/>
      <c r="C95" s="97">
        <f>C92+C93+C94</f>
        <v>31013623</v>
      </c>
      <c r="D95" s="98"/>
      <c r="E95" s="87"/>
    </row>
    <row r="96" spans="1:5">
      <c r="A96" s="96"/>
      <c r="B96" s="82"/>
      <c r="C96" s="99"/>
      <c r="D96" s="98"/>
      <c r="E96" s="87"/>
    </row>
    <row r="97" spans="1:5">
      <c r="A97" s="96"/>
      <c r="B97" s="82"/>
      <c r="C97" s="99"/>
      <c r="D97" s="98"/>
      <c r="E97" s="87"/>
    </row>
    <row r="98" spans="1:5" ht="31.5">
      <c r="A98" s="78" t="s">
        <v>83</v>
      </c>
      <c r="B98" s="82"/>
      <c r="C98" s="99"/>
      <c r="D98" s="98"/>
      <c r="E98" s="87"/>
    </row>
    <row r="99" spans="1:5" ht="31.5">
      <c r="A99" s="96" t="s">
        <v>84</v>
      </c>
      <c r="B99" s="82"/>
      <c r="C99" s="81">
        <v>4055570</v>
      </c>
      <c r="D99" s="98"/>
      <c r="E99" s="87"/>
    </row>
    <row r="100" spans="1:5">
      <c r="A100" s="96" t="s">
        <v>85</v>
      </c>
      <c r="B100" s="82"/>
      <c r="C100" s="81">
        <v>5171872</v>
      </c>
      <c r="D100" s="100"/>
      <c r="E100" s="87"/>
    </row>
    <row r="101" spans="1:5">
      <c r="A101" s="78"/>
      <c r="B101" s="79"/>
      <c r="C101" s="99"/>
      <c r="D101" s="81"/>
      <c r="E101" s="87"/>
    </row>
    <row r="102" spans="1:5">
      <c r="A102" s="78" t="s">
        <v>86</v>
      </c>
      <c r="B102" s="82"/>
      <c r="C102" s="101">
        <f>C82+C87-C95-C100+C99+C89</f>
        <v>-11385761</v>
      </c>
      <c r="D102" s="86"/>
      <c r="E102" s="87"/>
    </row>
    <row r="103" spans="1:5">
      <c r="A103" s="96"/>
      <c r="B103" s="82"/>
      <c r="C103" s="93"/>
      <c r="D103" s="86"/>
      <c r="E103" s="87"/>
    </row>
    <row r="104" spans="1:5" ht="18.75">
      <c r="A104" s="78"/>
      <c r="B104" s="79"/>
      <c r="C104" s="102"/>
      <c r="D104" s="103"/>
      <c r="E104" s="87"/>
    </row>
  </sheetData>
  <mergeCells count="2">
    <mergeCell ref="A1:E1"/>
    <mergeCell ref="A67:B67"/>
  </mergeCells>
  <printOptions horizontalCentered="1" verticalCentered="1"/>
  <pageMargins left="0" right="0.70866141732283472" top="0.55118110236220474" bottom="0.55118110236220474" header="0.51181102362204722" footer="0.31496062992125984"/>
  <pageSetup paperSize="9" scale="90" firstPageNumber="0" orientation="portrait" r:id="rId1"/>
  <headerFooter>
    <oddFooter>&amp;L&amp;"Calibri,Általános"&amp;11 2.melléklet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zoomScaleNormal="100" zoomScalePageLayoutView="60" workbookViewId="0"/>
  </sheetViews>
  <sheetFormatPr defaultRowHeight="12.75"/>
  <cols>
    <col min="1" max="1" width="19.42578125"/>
    <col min="2" max="2" width="15.7109375" style="104"/>
    <col min="3" max="3" width="11.85546875"/>
    <col min="4" max="5" width="15.7109375"/>
    <col min="6" max="6" width="18.5703125"/>
    <col min="7" max="7" width="26"/>
    <col min="8" max="1025" width="11.85546875"/>
  </cols>
  <sheetData>
    <row r="1" spans="1:7">
      <c r="A1" s="105" t="s">
        <v>87</v>
      </c>
      <c r="E1" s="105" t="s">
        <v>88</v>
      </c>
      <c r="F1" s="105" t="s">
        <v>89</v>
      </c>
      <c r="G1" s="105" t="s">
        <v>90</v>
      </c>
    </row>
    <row r="3" spans="1:7">
      <c r="A3" t="s">
        <v>91</v>
      </c>
      <c r="B3" s="104">
        <v>19756923</v>
      </c>
      <c r="D3" t="s">
        <v>91</v>
      </c>
      <c r="E3">
        <v>569684</v>
      </c>
      <c r="F3">
        <v>423786</v>
      </c>
      <c r="G3">
        <v>116732</v>
      </c>
    </row>
    <row r="4" spans="1:7">
      <c r="A4" t="s">
        <v>92</v>
      </c>
      <c r="B4" s="104">
        <v>24549895</v>
      </c>
      <c r="D4" t="s">
        <v>93</v>
      </c>
      <c r="E4">
        <v>0</v>
      </c>
      <c r="F4">
        <v>0</v>
      </c>
      <c r="G4">
        <v>0</v>
      </c>
    </row>
    <row r="5" spans="1:7">
      <c r="A5" t="s">
        <v>94</v>
      </c>
      <c r="B5" s="104">
        <v>39343088</v>
      </c>
      <c r="D5" t="s">
        <v>95</v>
      </c>
      <c r="E5">
        <v>569684</v>
      </c>
      <c r="F5">
        <f>F3-F6</f>
        <v>423786</v>
      </c>
      <c r="G5">
        <v>116732</v>
      </c>
    </row>
    <row r="7" spans="1:7">
      <c r="A7" t="s">
        <v>96</v>
      </c>
      <c r="B7" s="104">
        <f>B3+B4-B5</f>
        <v>4963730</v>
      </c>
      <c r="D7" t="s">
        <v>97</v>
      </c>
      <c r="E7">
        <f>E3+E4-E5</f>
        <v>0</v>
      </c>
      <c r="F7">
        <v>144875</v>
      </c>
      <c r="G7">
        <v>0</v>
      </c>
    </row>
    <row r="9" spans="1:7">
      <c r="A9" t="s">
        <v>98</v>
      </c>
      <c r="B9" s="104">
        <f>B7-B3</f>
        <v>-14793193</v>
      </c>
      <c r="C9" s="104">
        <f>C7-C3</f>
        <v>0</v>
      </c>
      <c r="D9" s="104" t="s">
        <v>99</v>
      </c>
      <c r="E9" s="104">
        <f>E7-E3</f>
        <v>-569684</v>
      </c>
      <c r="F9" s="104">
        <f>F7-F3</f>
        <v>-278911</v>
      </c>
      <c r="G9" s="104">
        <f>G6-G3</f>
        <v>-116732</v>
      </c>
    </row>
    <row r="15" spans="1:7">
      <c r="A15" s="105" t="s">
        <v>100</v>
      </c>
      <c r="F15" s="105" t="s">
        <v>101</v>
      </c>
      <c r="G15" s="105" t="s">
        <v>102</v>
      </c>
    </row>
    <row r="16" spans="1:7">
      <c r="A16" t="s">
        <v>91</v>
      </c>
      <c r="B16" s="104">
        <v>6956161</v>
      </c>
      <c r="F16" s="104">
        <v>1307906</v>
      </c>
      <c r="G16" s="104">
        <v>31491457</v>
      </c>
    </row>
    <row r="17" spans="1:7">
      <c r="A17" t="s">
        <v>103</v>
      </c>
      <c r="B17" s="104">
        <v>0</v>
      </c>
      <c r="F17" s="104">
        <v>0</v>
      </c>
      <c r="G17" s="104">
        <v>0</v>
      </c>
    </row>
    <row r="18" spans="1:7">
      <c r="A18" t="s">
        <v>94</v>
      </c>
      <c r="B18" s="104">
        <v>0</v>
      </c>
      <c r="F18" s="104">
        <v>0</v>
      </c>
      <c r="G18" s="104">
        <f>4055570+2169227</f>
        <v>6224797</v>
      </c>
    </row>
    <row r="19" spans="1:7">
      <c r="F19" s="104"/>
      <c r="G19" s="104"/>
    </row>
    <row r="20" spans="1:7">
      <c r="A20" t="s">
        <v>104</v>
      </c>
      <c r="B20" s="104">
        <v>-158191</v>
      </c>
      <c r="F20" s="104">
        <v>776318</v>
      </c>
      <c r="G20" s="104">
        <v>25266660</v>
      </c>
    </row>
    <row r="21" spans="1:7">
      <c r="F21" s="104"/>
      <c r="G21" s="104"/>
    </row>
    <row r="22" spans="1:7">
      <c r="A22" t="s">
        <v>105</v>
      </c>
      <c r="B22" s="104">
        <f>B16-B20</f>
        <v>7114352</v>
      </c>
      <c r="F22" s="104">
        <f>F16-F20</f>
        <v>531588</v>
      </c>
      <c r="G22" s="104">
        <f>G16-G20</f>
        <v>6224797</v>
      </c>
    </row>
  </sheetData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Roman,Normál"&amp;12&amp;A</oddHeader>
    <oddFooter>&amp;C&amp;"Times New Roman,Normál"&amp;12Oldal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zoomScaleNormal="100" zoomScalePageLayoutView="60" workbookViewId="0"/>
  </sheetViews>
  <sheetFormatPr defaultRowHeight="12.75"/>
  <cols>
    <col min="1" max="1" width="46.140625"/>
    <col min="2" max="2" width="15.140625"/>
    <col min="3" max="3" width="12.5703125"/>
    <col min="4" max="1025" width="11.7109375"/>
  </cols>
  <sheetData>
    <row r="1" spans="1:2" ht="15.75">
      <c r="A1" s="79" t="s">
        <v>106</v>
      </c>
      <c r="B1" s="81">
        <f>B2+B3</f>
        <v>14786188</v>
      </c>
    </row>
    <row r="2" spans="1:2" ht="15.75">
      <c r="A2" s="82" t="s">
        <v>107</v>
      </c>
      <c r="B2" s="84">
        <v>14663230</v>
      </c>
    </row>
    <row r="3" spans="1:2" ht="15.75">
      <c r="A3" s="82" t="s">
        <v>108</v>
      </c>
      <c r="B3" s="86">
        <v>122958</v>
      </c>
    </row>
    <row r="4" spans="1:2" ht="15.75">
      <c r="A4" s="82"/>
      <c r="B4" s="86"/>
    </row>
    <row r="5" spans="1:2" ht="15.75">
      <c r="A5" s="82" t="s">
        <v>109</v>
      </c>
      <c r="B5" s="86">
        <f>Hulladék!D74</f>
        <v>-6281559.2899999991</v>
      </c>
    </row>
    <row r="6" spans="1:2" ht="15.75">
      <c r="A6" s="82" t="s">
        <v>110</v>
      </c>
      <c r="B6" s="86">
        <v>-7114352</v>
      </c>
    </row>
    <row r="7" spans="1:2" ht="31.5">
      <c r="A7" s="94" t="s">
        <v>111</v>
      </c>
      <c r="B7" s="86">
        <v>-531588</v>
      </c>
    </row>
    <row r="8" spans="1:2" ht="15.75">
      <c r="A8" s="94" t="s">
        <v>112</v>
      </c>
      <c r="B8" s="86">
        <v>-6224797</v>
      </c>
    </row>
    <row r="9" spans="1:2" ht="15.75">
      <c r="A9" s="94" t="s">
        <v>113</v>
      </c>
      <c r="B9" s="86">
        <v>14793163</v>
      </c>
    </row>
    <row r="10" spans="1:2" ht="15.75">
      <c r="A10" s="96" t="s">
        <v>114</v>
      </c>
      <c r="B10" s="98">
        <v>569684</v>
      </c>
    </row>
    <row r="11" spans="1:2" ht="15.75">
      <c r="A11" s="96" t="s">
        <v>115</v>
      </c>
      <c r="B11" s="98">
        <v>278914</v>
      </c>
    </row>
    <row r="12" spans="1:2" ht="15.75">
      <c r="A12" s="96" t="s">
        <v>90</v>
      </c>
      <c r="B12" s="98">
        <f>116732</f>
        <v>116732</v>
      </c>
    </row>
    <row r="13" spans="1:2" ht="15.75">
      <c r="A13" s="96" t="s">
        <v>116</v>
      </c>
      <c r="B13" s="98">
        <v>-8000000</v>
      </c>
    </row>
    <row r="14" spans="1:2" ht="15.75">
      <c r="A14" s="96" t="s">
        <v>117</v>
      </c>
      <c r="B14" s="98">
        <v>646868</v>
      </c>
    </row>
    <row r="15" spans="1:2" ht="15.75">
      <c r="A15" s="96"/>
      <c r="B15" s="98"/>
    </row>
    <row r="16" spans="1:2" ht="15.75">
      <c r="A16" s="96"/>
      <c r="B16" s="100"/>
    </row>
    <row r="17" spans="1:3" ht="15.75">
      <c r="A17" s="78" t="s">
        <v>118</v>
      </c>
      <c r="B17" s="81">
        <f>B18+B19</f>
        <v>3039193</v>
      </c>
      <c r="C17" s="104"/>
    </row>
    <row r="18" spans="1:3" ht="15.75">
      <c r="A18" s="96" t="s">
        <v>107</v>
      </c>
      <c r="B18" s="86">
        <v>2953733</v>
      </c>
    </row>
    <row r="19" spans="1:3" ht="15.75">
      <c r="A19" s="96" t="s">
        <v>108</v>
      </c>
      <c r="B19" s="86">
        <v>85460</v>
      </c>
    </row>
    <row r="20" spans="1:3" ht="18.75">
      <c r="A20" s="78"/>
      <c r="B20" s="103"/>
    </row>
    <row r="21" spans="1:3" ht="15">
      <c r="A21" s="106" t="s">
        <v>119</v>
      </c>
      <c r="B21" s="107">
        <f>B17-B1</f>
        <v>-11746995</v>
      </c>
    </row>
  </sheetData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Roman,Normál"&amp;12&amp;A</oddHeader>
    <oddFooter>&amp;C&amp;"Times New Roman,Normál"&amp;12Oldal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"/>
  <sheetViews>
    <sheetView zoomScaleNormal="100" zoomScalePageLayoutView="60" workbookViewId="0"/>
  </sheetViews>
  <sheetFormatPr defaultRowHeight="12.75"/>
  <cols>
    <col min="1" max="1" width="44.42578125"/>
    <col min="2" max="1025" width="11.85546875"/>
  </cols>
  <sheetData>
    <row r="2" spans="1:9">
      <c r="A2" t="s">
        <v>120</v>
      </c>
      <c r="B2" s="108" t="s">
        <v>91</v>
      </c>
      <c r="C2" s="108"/>
      <c r="D2" s="108"/>
      <c r="F2" s="109" t="s">
        <v>121</v>
      </c>
      <c r="G2" s="109"/>
      <c r="H2" s="109"/>
      <c r="I2" s="109"/>
    </row>
    <row r="3" spans="1:9">
      <c r="B3" s="108" t="s">
        <v>48</v>
      </c>
      <c r="C3" s="108" t="s">
        <v>122</v>
      </c>
      <c r="D3" s="108" t="s">
        <v>123</v>
      </c>
      <c r="F3" s="109" t="s">
        <v>48</v>
      </c>
      <c r="G3" s="109" t="s">
        <v>122</v>
      </c>
      <c r="H3" s="109" t="s">
        <v>123</v>
      </c>
      <c r="I3" s="109" t="s">
        <v>124</v>
      </c>
    </row>
    <row r="4" spans="1:9">
      <c r="A4" t="s">
        <v>125</v>
      </c>
      <c r="B4" s="110">
        <v>39563</v>
      </c>
      <c r="C4" s="110">
        <v>39563</v>
      </c>
      <c r="D4" s="110"/>
      <c r="E4" s="111"/>
      <c r="F4" s="109">
        <v>31336</v>
      </c>
      <c r="G4" s="109">
        <v>31336</v>
      </c>
      <c r="H4" s="109"/>
      <c r="I4" s="109"/>
    </row>
    <row r="5" spans="1:9">
      <c r="A5" t="s">
        <v>126</v>
      </c>
      <c r="B5" s="110">
        <v>448500</v>
      </c>
      <c r="C5" s="110"/>
      <c r="D5" s="110">
        <v>448500</v>
      </c>
      <c r="E5" s="111"/>
      <c r="F5" s="109">
        <v>97218</v>
      </c>
      <c r="G5" s="109"/>
      <c r="H5" s="109">
        <v>97218</v>
      </c>
      <c r="I5" s="109"/>
    </row>
    <row r="6" spans="1:9">
      <c r="A6" s="112" t="s">
        <v>127</v>
      </c>
      <c r="B6" s="110"/>
      <c r="C6" s="110"/>
      <c r="D6" s="110"/>
      <c r="E6" s="111"/>
      <c r="F6" s="109"/>
      <c r="G6" s="109"/>
      <c r="H6" s="109"/>
      <c r="I6" s="109"/>
    </row>
    <row r="7" spans="1:9">
      <c r="A7" s="112" t="s">
        <v>128</v>
      </c>
      <c r="B7" s="110"/>
      <c r="C7" s="110"/>
      <c r="D7" s="110"/>
      <c r="E7" s="111"/>
      <c r="F7" s="109"/>
      <c r="G7" s="109"/>
      <c r="H7" s="109"/>
      <c r="I7" s="109"/>
    </row>
    <row r="8" spans="1:9">
      <c r="A8" s="112" t="s">
        <v>129</v>
      </c>
      <c r="B8" s="110"/>
      <c r="C8" s="110"/>
      <c r="D8" s="110"/>
      <c r="E8" s="111"/>
      <c r="F8" s="109"/>
      <c r="G8" s="109"/>
      <c r="H8" s="109"/>
      <c r="I8" s="109"/>
    </row>
    <row r="9" spans="1:9">
      <c r="A9" t="s">
        <v>130</v>
      </c>
      <c r="B9" s="110"/>
      <c r="C9" s="110"/>
      <c r="D9" s="110"/>
      <c r="E9" s="111"/>
      <c r="F9" s="109">
        <v>29004</v>
      </c>
      <c r="G9" s="109">
        <v>9000</v>
      </c>
      <c r="H9" s="109"/>
      <c r="I9" s="109">
        <v>20004</v>
      </c>
    </row>
    <row r="10" spans="1:9" ht="25.5">
      <c r="A10" s="113" t="s">
        <v>131</v>
      </c>
      <c r="B10" s="110"/>
      <c r="C10" s="110"/>
      <c r="D10" s="110"/>
      <c r="E10" s="111"/>
      <c r="F10" s="109"/>
      <c r="G10" s="109"/>
      <c r="H10" s="109"/>
      <c r="I10" s="109"/>
    </row>
    <row r="11" spans="1:9">
      <c r="A11" s="114" t="s">
        <v>132</v>
      </c>
      <c r="B11" s="110"/>
      <c r="C11" s="110"/>
      <c r="D11" s="110"/>
      <c r="E11" s="111"/>
      <c r="F11" s="109"/>
      <c r="G11" s="109"/>
      <c r="H11" s="109"/>
      <c r="I11" s="109"/>
    </row>
    <row r="12" spans="1:9">
      <c r="A12" s="114" t="s">
        <v>133</v>
      </c>
      <c r="B12" s="110"/>
      <c r="C12" s="110"/>
      <c r="D12" s="110"/>
      <c r="E12" s="111"/>
      <c r="F12" s="109"/>
      <c r="G12" s="109"/>
      <c r="H12" s="109"/>
      <c r="I12" s="109"/>
    </row>
    <row r="13" spans="1:9">
      <c r="A13" s="115" t="s">
        <v>134</v>
      </c>
      <c r="B13" s="110"/>
      <c r="C13" s="110"/>
      <c r="D13" s="110"/>
      <c r="E13" s="111"/>
      <c r="F13" s="109">
        <v>6694</v>
      </c>
      <c r="G13" s="109"/>
      <c r="H13" s="109"/>
      <c r="I13" s="109">
        <v>6694</v>
      </c>
    </row>
    <row r="14" spans="1:9">
      <c r="A14" t="s">
        <v>135</v>
      </c>
      <c r="B14" s="110"/>
      <c r="C14" s="110"/>
      <c r="D14" s="110"/>
      <c r="E14" s="111"/>
      <c r="F14" s="109">
        <v>983194</v>
      </c>
      <c r="G14" s="109"/>
      <c r="H14" s="109">
        <v>983194</v>
      </c>
      <c r="I14" s="109"/>
    </row>
    <row r="15" spans="1:9">
      <c r="A15" t="s">
        <v>136</v>
      </c>
      <c r="B15" s="110">
        <v>284223</v>
      </c>
      <c r="C15" s="110">
        <v>284223</v>
      </c>
      <c r="D15" s="110"/>
      <c r="E15" s="111"/>
      <c r="F15" s="109">
        <v>4536</v>
      </c>
      <c r="G15" s="109">
        <v>4536</v>
      </c>
      <c r="H15" s="109"/>
      <c r="I15" s="109"/>
    </row>
    <row r="16" spans="1:9">
      <c r="A16" t="s">
        <v>137</v>
      </c>
      <c r="B16" s="110"/>
      <c r="C16" s="110"/>
      <c r="D16" s="110"/>
      <c r="E16" s="111"/>
      <c r="F16" s="109"/>
      <c r="G16" s="109"/>
      <c r="H16" s="109"/>
      <c r="I16" s="109"/>
    </row>
    <row r="17" spans="1:9">
      <c r="A17" t="s">
        <v>138</v>
      </c>
      <c r="B17" s="108">
        <v>100000</v>
      </c>
      <c r="C17" s="108">
        <v>100000</v>
      </c>
      <c r="D17" s="108"/>
      <c r="F17" s="109">
        <v>100000</v>
      </c>
      <c r="G17" s="116">
        <f>F17</f>
        <v>100000</v>
      </c>
      <c r="H17" s="109"/>
      <c r="I17" s="109"/>
    </row>
    <row r="18" spans="1:9">
      <c r="A18" s="105" t="s">
        <v>139</v>
      </c>
      <c r="B18" s="117">
        <f>SUM(B4:B17)</f>
        <v>872286</v>
      </c>
      <c r="C18" s="117">
        <f>SUM(C4:C17)</f>
        <v>423786</v>
      </c>
      <c r="D18" s="117">
        <f>SUM(D4:D17)</f>
        <v>448500</v>
      </c>
      <c r="E18" s="105"/>
      <c r="F18" s="118">
        <f>SUM(F4:F17)</f>
        <v>1251982</v>
      </c>
      <c r="G18" s="118">
        <f>SUM(G4:G17)</f>
        <v>144872</v>
      </c>
      <c r="H18" s="118">
        <f>SUM(H4:H17)</f>
        <v>1080412</v>
      </c>
      <c r="I18" s="118">
        <f>SUM(I4:I17)</f>
        <v>26698</v>
      </c>
    </row>
    <row r="19" spans="1:9">
      <c r="F19" s="109"/>
      <c r="G19" s="109"/>
      <c r="H19" s="109"/>
      <c r="I19" s="116">
        <f>I18+H18+G18</f>
        <v>1251982</v>
      </c>
    </row>
    <row r="20" spans="1:9">
      <c r="I20" s="119">
        <f>I19-F18</f>
        <v>0</v>
      </c>
    </row>
  </sheetData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Roman,Normál"&amp;12&amp;A</oddHeader>
    <oddFooter>&amp;C&amp;"Times New Roman,Normál"&amp;12Oldal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zoomScaleNormal="100" zoomScalePageLayoutView="60" workbookViewId="0"/>
  </sheetViews>
  <sheetFormatPr defaultRowHeight="12.75"/>
  <cols>
    <col min="1" max="1" width="27.5703125"/>
    <col min="2" max="1025" width="11.85546875"/>
  </cols>
  <sheetData>
    <row r="1" spans="1:11">
      <c r="A1" t="s">
        <v>140</v>
      </c>
      <c r="B1" s="150" t="s">
        <v>91</v>
      </c>
      <c r="C1" s="150"/>
      <c r="D1" s="150"/>
      <c r="E1" s="150"/>
      <c r="F1" s="120"/>
      <c r="G1" s="121" t="s">
        <v>121</v>
      </c>
      <c r="H1" s="121"/>
      <c r="I1" s="121"/>
      <c r="J1" s="121"/>
      <c r="K1" t="s">
        <v>5</v>
      </c>
    </row>
    <row r="2" spans="1:11">
      <c r="B2" s="121"/>
      <c r="C2" s="121"/>
      <c r="D2" s="121"/>
      <c r="E2" s="121"/>
      <c r="F2" s="121"/>
      <c r="G2" s="121"/>
      <c r="H2" s="121"/>
      <c r="I2" s="121"/>
      <c r="J2" s="121"/>
    </row>
    <row r="3" spans="1:11">
      <c r="B3" s="122" t="s">
        <v>141</v>
      </c>
      <c r="C3" s="123" t="s">
        <v>142</v>
      </c>
      <c r="D3" s="124" t="s">
        <v>122</v>
      </c>
      <c r="E3" s="123" t="s">
        <v>48</v>
      </c>
      <c r="F3" s="123"/>
      <c r="G3" s="125" t="s">
        <v>141</v>
      </c>
      <c r="H3" s="125" t="s">
        <v>142</v>
      </c>
      <c r="I3" s="126" t="s">
        <v>122</v>
      </c>
      <c r="J3" s="125" t="s">
        <v>124</v>
      </c>
    </row>
    <row r="4" spans="1:11">
      <c r="A4" s="105" t="s">
        <v>143</v>
      </c>
      <c r="B4" s="122">
        <v>18000</v>
      </c>
      <c r="C4" s="122">
        <v>5100</v>
      </c>
      <c r="D4" s="127">
        <v>12900</v>
      </c>
      <c r="E4" s="122">
        <f t="shared" ref="E4:E22" si="0">C4+D4</f>
        <v>18000</v>
      </c>
      <c r="F4" s="122" t="s">
        <v>143</v>
      </c>
      <c r="G4" s="128">
        <f>674000-498000</f>
        <v>176000</v>
      </c>
      <c r="H4" s="128">
        <v>11710</v>
      </c>
      <c r="I4" s="129">
        <v>12852</v>
      </c>
      <c r="J4" s="128">
        <f>G4-H4-I4</f>
        <v>151438</v>
      </c>
      <c r="K4" s="119">
        <f t="shared" ref="K4:K21" si="1">H4+I4+J4</f>
        <v>176000</v>
      </c>
    </row>
    <row r="5" spans="1:11">
      <c r="A5" t="s">
        <v>144</v>
      </c>
      <c r="B5" s="130">
        <v>218000</v>
      </c>
      <c r="C5" s="130">
        <v>171600</v>
      </c>
      <c r="D5" s="127">
        <v>46400</v>
      </c>
      <c r="E5" s="122">
        <f t="shared" si="0"/>
        <v>218000</v>
      </c>
      <c r="F5" s="122" t="s">
        <v>144</v>
      </c>
      <c r="G5" s="128">
        <f>7766000-7098000</f>
        <v>668000</v>
      </c>
      <c r="H5" s="128">
        <f>369288*0.15</f>
        <v>55393.2</v>
      </c>
      <c r="I5" s="129">
        <v>70004</v>
      </c>
      <c r="J5" s="128">
        <f>G5-H5-I5</f>
        <v>542602.80000000005</v>
      </c>
      <c r="K5" s="119">
        <f t="shared" si="1"/>
        <v>668000</v>
      </c>
    </row>
    <row r="6" spans="1:11">
      <c r="B6" s="130"/>
      <c r="C6" s="130"/>
      <c r="D6" s="127"/>
      <c r="E6" s="122">
        <f t="shared" si="0"/>
        <v>0</v>
      </c>
      <c r="F6" s="122"/>
      <c r="G6" s="131">
        <f>91000-91000</f>
        <v>0</v>
      </c>
      <c r="H6" s="131"/>
      <c r="I6" s="129"/>
      <c r="J6" s="131"/>
      <c r="K6" s="119">
        <f t="shared" si="1"/>
        <v>0</v>
      </c>
    </row>
    <row r="7" spans="1:11">
      <c r="A7" s="132" t="s">
        <v>145</v>
      </c>
      <c r="B7" s="133">
        <v>309000</v>
      </c>
      <c r="C7" s="133">
        <v>72500</v>
      </c>
      <c r="D7" s="134">
        <v>236500</v>
      </c>
      <c r="E7" s="122">
        <f t="shared" si="0"/>
        <v>309000</v>
      </c>
      <c r="F7" s="122" t="s">
        <v>145</v>
      </c>
      <c r="G7" s="135">
        <f>11818000-10757000</f>
        <v>1061000</v>
      </c>
      <c r="H7" s="135">
        <v>82308</v>
      </c>
      <c r="I7" s="136">
        <v>77258</v>
      </c>
      <c r="J7" s="135">
        <f>G7-H7-I7</f>
        <v>901434</v>
      </c>
      <c r="K7" s="119">
        <f t="shared" si="1"/>
        <v>1061000</v>
      </c>
    </row>
    <row r="8" spans="1:11">
      <c r="A8" s="132" t="s">
        <v>146</v>
      </c>
      <c r="B8" s="128">
        <f>22000</f>
        <v>22000</v>
      </c>
      <c r="C8" s="128">
        <v>6240</v>
      </c>
      <c r="D8" s="129">
        <v>15760</v>
      </c>
      <c r="E8" s="122">
        <f t="shared" si="0"/>
        <v>22000</v>
      </c>
      <c r="F8" s="122" t="s">
        <v>146</v>
      </c>
      <c r="G8" s="137">
        <f>829000-547000</f>
        <v>282000</v>
      </c>
      <c r="H8" s="137">
        <v>18355</v>
      </c>
      <c r="I8" s="138">
        <v>20041</v>
      </c>
      <c r="J8" s="137">
        <f>G8-H8-I8</f>
        <v>243604</v>
      </c>
      <c r="K8" s="119">
        <f t="shared" si="1"/>
        <v>282000</v>
      </c>
    </row>
    <row r="9" spans="1:11">
      <c r="A9" s="132" t="s">
        <v>147</v>
      </c>
      <c r="B9" s="128">
        <v>116000</v>
      </c>
      <c r="C9" s="128">
        <v>24650</v>
      </c>
      <c r="D9" s="129">
        <v>90350</v>
      </c>
      <c r="E9" s="122">
        <f t="shared" si="0"/>
        <v>115000</v>
      </c>
      <c r="F9" s="122" t="s">
        <v>148</v>
      </c>
      <c r="G9" s="139">
        <v>4000</v>
      </c>
      <c r="H9" s="139">
        <v>4000</v>
      </c>
      <c r="I9" s="138"/>
      <c r="J9" s="139"/>
      <c r="K9" s="119">
        <f t="shared" si="1"/>
        <v>4000</v>
      </c>
    </row>
    <row r="10" spans="1:11">
      <c r="A10" t="s">
        <v>149</v>
      </c>
      <c r="B10" s="128">
        <v>136000</v>
      </c>
      <c r="C10" s="128">
        <v>29000</v>
      </c>
      <c r="D10" s="129">
        <v>107000</v>
      </c>
      <c r="E10" s="122">
        <f t="shared" si="0"/>
        <v>136000</v>
      </c>
      <c r="F10" s="122" t="s">
        <v>150</v>
      </c>
      <c r="G10" s="131">
        <f>2220084-50</f>
        <v>2220034</v>
      </c>
      <c r="H10" s="131">
        <f>199500+(259350*0.3)</f>
        <v>277305</v>
      </c>
      <c r="I10" s="129">
        <f>85892+(259350*0.2)</f>
        <v>137762</v>
      </c>
      <c r="J10" s="131">
        <f>G10-H10-I10</f>
        <v>1804967</v>
      </c>
      <c r="K10" s="119">
        <f t="shared" si="1"/>
        <v>2220034</v>
      </c>
    </row>
    <row r="11" spans="1:11">
      <c r="A11" t="s">
        <v>151</v>
      </c>
      <c r="B11" s="131">
        <v>20000</v>
      </c>
      <c r="C11" s="131">
        <v>4350</v>
      </c>
      <c r="D11" s="129">
        <v>15650</v>
      </c>
      <c r="E11" s="122">
        <f t="shared" si="0"/>
        <v>20000</v>
      </c>
      <c r="F11" s="122" t="s">
        <v>147</v>
      </c>
      <c r="G11" s="128">
        <f>4581000-4179000</f>
        <v>402000</v>
      </c>
      <c r="H11" s="128">
        <f>369288*0.085</f>
        <v>31389.480000000003</v>
      </c>
      <c r="I11" s="129">
        <f>466696*0.085</f>
        <v>39669.160000000003</v>
      </c>
      <c r="J11" s="128">
        <f>G11-H11-I11</f>
        <v>330941.36</v>
      </c>
      <c r="K11" s="119">
        <f t="shared" si="1"/>
        <v>402000</v>
      </c>
    </row>
    <row r="12" spans="1:11">
      <c r="B12" s="131"/>
      <c r="C12" s="131"/>
      <c r="D12" s="129"/>
      <c r="E12" s="122">
        <f t="shared" si="0"/>
        <v>0</v>
      </c>
      <c r="F12" s="122" t="s">
        <v>149</v>
      </c>
      <c r="G12" s="128">
        <f>5537000-5054000</f>
        <v>483000</v>
      </c>
      <c r="H12" s="128">
        <f>369288*0.1</f>
        <v>36928.800000000003</v>
      </c>
      <c r="I12" s="129">
        <f>466696*0.1</f>
        <v>46669.600000000006</v>
      </c>
      <c r="J12" s="128">
        <f>G12-H12-I12</f>
        <v>399401.6</v>
      </c>
      <c r="K12" s="119">
        <f t="shared" si="1"/>
        <v>483000</v>
      </c>
    </row>
    <row r="13" spans="1:11">
      <c r="B13" s="131"/>
      <c r="C13" s="131"/>
      <c r="D13" s="129"/>
      <c r="E13" s="122">
        <f t="shared" si="0"/>
        <v>0</v>
      </c>
      <c r="F13" s="122"/>
      <c r="G13" s="128">
        <f>103122-103122</f>
        <v>0</v>
      </c>
      <c r="H13" s="128"/>
      <c r="I13" s="129"/>
      <c r="J13" s="128"/>
      <c r="K13" s="119">
        <f t="shared" si="1"/>
        <v>0</v>
      </c>
    </row>
    <row r="14" spans="1:11">
      <c r="A14" t="s">
        <v>152</v>
      </c>
      <c r="B14" s="131">
        <v>889140</v>
      </c>
      <c r="C14" s="131">
        <f>91700+98250</f>
        <v>189950</v>
      </c>
      <c r="D14" s="129">
        <f>137550+85694+100929+196500+88249+90268</f>
        <v>699190</v>
      </c>
      <c r="E14" s="122">
        <f t="shared" si="0"/>
        <v>889140</v>
      </c>
      <c r="F14" s="122"/>
      <c r="G14" s="131">
        <f>20000-20000</f>
        <v>0</v>
      </c>
      <c r="H14" s="131"/>
      <c r="I14" s="129"/>
      <c r="J14" s="131"/>
      <c r="K14" s="119">
        <f t="shared" si="1"/>
        <v>0</v>
      </c>
    </row>
    <row r="15" spans="1:11">
      <c r="A15" t="s">
        <v>153</v>
      </c>
      <c r="B15" s="131">
        <v>108430</v>
      </c>
      <c r="C15" s="131">
        <v>24314</v>
      </c>
      <c r="D15" s="129">
        <f>47670+36486</f>
        <v>84156</v>
      </c>
      <c r="E15" s="122">
        <f t="shared" si="0"/>
        <v>108470</v>
      </c>
      <c r="F15" s="122" t="s">
        <v>154</v>
      </c>
      <c r="G15" s="128">
        <v>14580</v>
      </c>
      <c r="H15" s="128"/>
      <c r="I15" s="129"/>
      <c r="J15" s="128">
        <v>14580</v>
      </c>
      <c r="K15" s="119">
        <f t="shared" si="1"/>
        <v>14580</v>
      </c>
    </row>
    <row r="16" spans="1:11">
      <c r="B16" s="135"/>
      <c r="C16" s="135"/>
      <c r="D16" s="136"/>
      <c r="E16" s="122">
        <f t="shared" si="0"/>
        <v>0</v>
      </c>
      <c r="F16" s="122" t="s">
        <v>155</v>
      </c>
      <c r="G16" s="128">
        <v>2620</v>
      </c>
      <c r="H16" s="128"/>
      <c r="I16" s="129">
        <v>2620</v>
      </c>
      <c r="J16" s="128"/>
      <c r="K16" s="119">
        <f t="shared" si="1"/>
        <v>2620</v>
      </c>
    </row>
    <row r="17" spans="1:11">
      <c r="B17" s="137">
        <v>0</v>
      </c>
      <c r="C17" s="137"/>
      <c r="D17" s="138"/>
      <c r="E17" s="122">
        <f t="shared" si="0"/>
        <v>0</v>
      </c>
      <c r="F17" s="122" t="s">
        <v>156</v>
      </c>
      <c r="G17" s="128">
        <v>144000</v>
      </c>
      <c r="H17" s="128"/>
      <c r="I17" s="129"/>
      <c r="J17" s="128">
        <v>144000</v>
      </c>
      <c r="K17" s="119">
        <f t="shared" si="1"/>
        <v>144000</v>
      </c>
    </row>
    <row r="18" spans="1:11">
      <c r="A18" t="s">
        <v>138</v>
      </c>
      <c r="B18" s="139">
        <v>1706512</v>
      </c>
      <c r="C18" s="139">
        <v>1706512</v>
      </c>
      <c r="D18" s="138"/>
      <c r="E18" s="122">
        <f t="shared" si="0"/>
        <v>1706512</v>
      </c>
      <c r="F18" s="122" t="s">
        <v>157</v>
      </c>
      <c r="G18" s="128">
        <v>360442</v>
      </c>
      <c r="H18" s="128"/>
      <c r="I18" s="129">
        <v>360442</v>
      </c>
      <c r="J18" s="128"/>
      <c r="K18" s="119">
        <f t="shared" si="1"/>
        <v>360442</v>
      </c>
    </row>
    <row r="19" spans="1:11">
      <c r="A19" t="s">
        <v>158</v>
      </c>
      <c r="B19" s="131">
        <v>2962764</v>
      </c>
      <c r="C19" s="140">
        <v>2962764</v>
      </c>
      <c r="D19" s="129"/>
      <c r="E19" s="122">
        <f t="shared" si="0"/>
        <v>2962764</v>
      </c>
      <c r="F19" s="122" t="s">
        <v>159</v>
      </c>
      <c r="G19" s="128">
        <v>17159</v>
      </c>
      <c r="H19" s="128">
        <v>17159</v>
      </c>
      <c r="I19" s="129"/>
      <c r="J19" s="128"/>
      <c r="K19" s="119">
        <f t="shared" si="1"/>
        <v>17159</v>
      </c>
    </row>
    <row r="20" spans="1:11">
      <c r="B20" s="128"/>
      <c r="C20" s="128"/>
      <c r="D20" s="129"/>
      <c r="E20" s="122">
        <f t="shared" si="0"/>
        <v>0</v>
      </c>
      <c r="F20" s="122" t="s">
        <v>138</v>
      </c>
      <c r="G20" s="128">
        <v>1740550</v>
      </c>
      <c r="H20" s="128">
        <v>1740550</v>
      </c>
      <c r="I20" s="129"/>
      <c r="J20" s="128"/>
      <c r="K20" s="119">
        <f t="shared" si="1"/>
        <v>1740550</v>
      </c>
    </row>
    <row r="21" spans="1:11">
      <c r="B21" s="128"/>
      <c r="C21" s="128"/>
      <c r="D21" s="129"/>
      <c r="E21" s="122">
        <f t="shared" si="0"/>
        <v>0</v>
      </c>
      <c r="F21" s="122" t="s">
        <v>160</v>
      </c>
      <c r="G21" s="128">
        <v>113694</v>
      </c>
      <c r="H21" s="128">
        <v>0</v>
      </c>
      <c r="I21" s="129">
        <v>9000</v>
      </c>
      <c r="J21" s="128">
        <f>G21-I21</f>
        <v>104694</v>
      </c>
      <c r="K21" s="119">
        <f t="shared" si="1"/>
        <v>113694</v>
      </c>
    </row>
    <row r="22" spans="1:11">
      <c r="A22" s="105" t="s">
        <v>48</v>
      </c>
      <c r="B22" s="128">
        <f>SUM(B4:B21)</f>
        <v>6505846</v>
      </c>
      <c r="C22" s="128">
        <f>SUM(C4:C21)</f>
        <v>5196980</v>
      </c>
      <c r="D22" s="141">
        <f>SUM(D4:D21)</f>
        <v>1307906</v>
      </c>
      <c r="E22" s="122">
        <f t="shared" si="0"/>
        <v>6504886</v>
      </c>
      <c r="F22" s="122"/>
      <c r="G22" s="142">
        <f>SUM(G3:G21)</f>
        <v>7689079</v>
      </c>
      <c r="H22" s="142"/>
      <c r="I22" s="143"/>
      <c r="J22" s="142"/>
      <c r="K22" s="119">
        <f>SUM(K4:K21)</f>
        <v>7689079</v>
      </c>
    </row>
    <row r="23" spans="1:11">
      <c r="B23" s="111"/>
      <c r="C23" s="111"/>
      <c r="D23" s="111"/>
      <c r="E23" s="111">
        <f>B22-E22</f>
        <v>960</v>
      </c>
      <c r="F23" s="131"/>
      <c r="G23" s="144">
        <f>G22-B22</f>
        <v>1183233</v>
      </c>
      <c r="H23" s="145">
        <f>SUM(H4:H21)</f>
        <v>2275098.48</v>
      </c>
      <c r="I23" s="146">
        <f>SUM(I4:I21)</f>
        <v>776317.76</v>
      </c>
      <c r="J23" s="145">
        <f>SUM(J4:J21)</f>
        <v>4637662.76</v>
      </c>
      <c r="K23" s="105">
        <f>H23+I23+J23</f>
        <v>7689079</v>
      </c>
    </row>
    <row r="24" spans="1:11">
      <c r="B24" s="147"/>
      <c r="C24" s="147"/>
      <c r="D24" s="147"/>
      <c r="E24" s="147"/>
      <c r="F24" s="147"/>
    </row>
  </sheetData>
  <mergeCells count="1">
    <mergeCell ref="B1:E1"/>
  </mergeCell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Roman,Normál"&amp;12&amp;A</oddHeader>
    <oddFooter>&amp;C&amp;"Times New Roman,Normál"&amp;12Oldal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5</vt:i4>
      </vt:variant>
      <vt:variant>
        <vt:lpstr>Névvel ellátott tartományok</vt:lpstr>
      </vt:variant>
      <vt:variant>
        <vt:i4>1</vt:i4>
      </vt:variant>
    </vt:vector>
  </HeadingPairs>
  <TitlesOfParts>
    <vt:vector size="6" baseType="lpstr">
      <vt:lpstr>Hulladék</vt:lpstr>
      <vt:lpstr>CASCH Flow elemek</vt:lpstr>
      <vt:lpstr>Hulladek_cash_levezetese</vt:lpstr>
      <vt:lpstr>Követelések</vt:lpstr>
      <vt:lpstr>Kötelezettségek</vt:lpstr>
      <vt:lpstr>Print_Area_1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Veres Gábor</dc:creator>
  <cp:lastModifiedBy>User</cp:lastModifiedBy>
  <cp:revision>0</cp:revision>
  <cp:lastPrinted>2017-05-17T05:59:25Z</cp:lastPrinted>
  <dcterms:created xsi:type="dcterms:W3CDTF">2017-05-17T05:45:28Z</dcterms:created>
  <dcterms:modified xsi:type="dcterms:W3CDTF">2017-05-17T06:02:17Z</dcterms:modified>
</cp:coreProperties>
</file>